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0" yWindow="-120" windowWidth="21840" windowHeight="13140"/>
  </bookViews>
  <sheets>
    <sheet name="งบประมาณ" sheetId="3" r:id="rId1"/>
    <sheet name="งบประมาณกิจกรรม" sheetId="6" r:id="rId2"/>
    <sheet name="Sheet1" sheetId="20" r:id="rId3"/>
    <sheet name="เบิกจ่ายไตรมาส 3-4" sheetId="17" r:id="rId4"/>
    <sheet name="โควิค 65 ก.พ.-มิ.ย.65" sheetId="19" r:id="rId5"/>
    <sheet name="ยาเสพติด" sheetId="15" r:id="rId6"/>
    <sheet name="เบิกจ่าย 2566" sheetId="4" r:id="rId7"/>
    <sheet name="บุคลากร" sheetId="16" r:id="rId8"/>
    <sheet name="งบครุภัณฑ์-ก่อสร้าง" sheetId="2" r:id="rId9"/>
    <sheet name=" ยาเสพยติดงวด3" sheetId="18" r:id="rId10"/>
    <sheet name="เงินกัน ปี 65" sheetId="8" r:id="rId11"/>
    <sheet name="วัคชีค" sheetId="11" state="hidden" r:id="rId12"/>
    <sheet name="ค่าเสี่ยงภัย" sheetId="12" state="hidden" r:id="rId13"/>
    <sheet name="จัดสรร ค่าสาธารณู สสอ." sheetId="10" r:id="rId14"/>
    <sheet name="fix cost" sheetId="13" r:id="rId15"/>
    <sheet name="Sheet2" sheetId="14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11" hidden="1">วัคชีค!$K$2:$K$120</definedName>
    <definedName name="JR_PAGE_ANCHOR_0_1">#REF!</definedName>
    <definedName name="_xlnm.Print_Area" localSheetId="2">Sheet1!$A$1:$F$23</definedName>
    <definedName name="_xlnm.Print_Area" localSheetId="4">'โควิค 65 ก.พ.-มิ.ย.65'!$K$6:$P$25</definedName>
    <definedName name="_xlnm.Print_Area" localSheetId="8">'งบครุภัณฑ์-ก่อสร้าง'!$C$1:$L$47</definedName>
    <definedName name="_xlnm.Print_Area" localSheetId="0">งบประมาณ!$B$1:$I$14</definedName>
    <definedName name="_xlnm.Print_Area" localSheetId="1">งบประมาณกิจกรรม!$A$35:$B$40</definedName>
    <definedName name="_xlnm.Print_Area" localSheetId="10">'เงินกัน ปี 65'!$A$14:$G$23</definedName>
    <definedName name="_xlnm.Print_Area" localSheetId="13">'จัดสรร ค่าสาธารณู สสอ.'!$E$29:$G$57</definedName>
    <definedName name="_xlnm.Print_Area" localSheetId="7">บุคลากร!$B$4:$S$14</definedName>
    <definedName name="_xlnm.Print_Area" localSheetId="6">'เบิกจ่าย 2566'!$I$3:$O$20</definedName>
    <definedName name="_xlnm.Print_Area" localSheetId="3">'เบิกจ่ายไตรมาส 3-4'!$C$48:$J$55</definedName>
    <definedName name="_xlnm.Print_Area" localSheetId="5">ยาเสพติด!$A$154:$H$217</definedName>
    <definedName name="_xlnm.Print_Area" localSheetId="11">วัคชีค!$B$19:$K$120</definedName>
    <definedName name="_xlnm.Print_Titles" localSheetId="8">'งบครุภัณฑ์-ก่อสร้าง'!$1:$4</definedName>
    <definedName name="_xlnm.Print_Titles" localSheetId="1">งบประมาณกิจกรรม!$2:$5</definedName>
    <definedName name="_xlnm.Print_Titles" localSheetId="10">'เงินกัน ปี 65'!$25:$27</definedName>
    <definedName name="_xlnm.Print_Titles" localSheetId="5">ยาเสพติด!$154:$160</definedName>
    <definedName name="_xlnm.Print_Titles" localSheetId="11">วัคชีค!$19:$21</definedName>
  </definedNames>
  <calcPr calcId="162913"/>
</workbook>
</file>

<file path=xl/calcChain.xml><?xml version="1.0" encoding="utf-8"?>
<calcChain xmlns="http://schemas.openxmlformats.org/spreadsheetml/2006/main">
  <c r="I18" i="4" l="1"/>
  <c r="D100" i="6" l="1"/>
  <c r="B23" i="20"/>
  <c r="B19" i="20"/>
  <c r="D122" i="6" l="1"/>
  <c r="D56" i="6"/>
  <c r="D108" i="6"/>
  <c r="F40" i="6"/>
  <c r="D34" i="6"/>
  <c r="F69" i="6"/>
  <c r="F85" i="17" l="1"/>
  <c r="F62" i="17" l="1"/>
  <c r="F53" i="17"/>
  <c r="F88" i="17"/>
  <c r="H51" i="17" l="1"/>
  <c r="F51" i="17"/>
  <c r="F36" i="17"/>
  <c r="F63" i="17" l="1"/>
  <c r="D195" i="15"/>
  <c r="D193" i="15"/>
  <c r="F55" i="17"/>
  <c r="H49" i="17"/>
  <c r="F49" i="17"/>
  <c r="F56" i="17"/>
  <c r="E34" i="6"/>
  <c r="F60" i="17"/>
  <c r="O18" i="4"/>
  <c r="H62" i="17"/>
  <c r="G62" i="17"/>
  <c r="E62" i="17"/>
  <c r="P18" i="4"/>
  <c r="F50" i="17"/>
  <c r="F89" i="17"/>
  <c r="E112" i="6" s="1"/>
  <c r="F93" i="17"/>
  <c r="I87" i="17"/>
  <c r="H87" i="17"/>
  <c r="F86" i="17"/>
  <c r="I85" i="17"/>
  <c r="G85" i="17"/>
  <c r="F84" i="17"/>
  <c r="F39" i="17"/>
  <c r="H100" i="15" l="1"/>
  <c r="G122" i="17" l="1"/>
  <c r="D205" i="15"/>
  <c r="H205" i="15" s="1"/>
  <c r="H86" i="17"/>
  <c r="G84" i="17"/>
  <c r="I84" i="17" s="1"/>
  <c r="G91" i="17" l="1"/>
  <c r="H91" i="17" s="1"/>
  <c r="G115" i="17" l="1"/>
  <c r="G107" i="17"/>
  <c r="G108" i="17"/>
  <c r="G109" i="17" l="1"/>
  <c r="G131" i="17" l="1"/>
  <c r="G127" i="17"/>
  <c r="AG16" i="4"/>
  <c r="E88" i="17"/>
  <c r="F57" i="17"/>
  <c r="F37" i="17"/>
  <c r="M9" i="19" l="1"/>
  <c r="O9" i="19" s="1"/>
  <c r="O8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7" i="19"/>
  <c r="M18" i="19"/>
  <c r="N18" i="19" s="1"/>
  <c r="E88" i="19"/>
  <c r="L2" i="19" s="1"/>
  <c r="M16" i="19"/>
  <c r="N16" i="19" s="1"/>
  <c r="M11" i="19"/>
  <c r="N11" i="19" s="1"/>
  <c r="M8" i="19"/>
  <c r="M13" i="19"/>
  <c r="N13" i="19" s="1"/>
  <c r="M14" i="19"/>
  <c r="N14" i="19" s="1"/>
  <c r="M15" i="19"/>
  <c r="N15" i="19" s="1"/>
  <c r="M17" i="19"/>
  <c r="N17" i="19" s="1"/>
  <c r="M23" i="19"/>
  <c r="N23" i="19" s="1"/>
  <c r="M20" i="19"/>
  <c r="N20" i="19" s="1"/>
  <c r="M21" i="19"/>
  <c r="N21" i="19" s="1"/>
  <c r="M24" i="19"/>
  <c r="N24" i="19" s="1"/>
  <c r="M19" i="19"/>
  <c r="N19" i="19" s="1"/>
  <c r="M12" i="19"/>
  <c r="N12" i="19" s="1"/>
  <c r="M10" i="19"/>
  <c r="N10" i="19" s="1"/>
  <c r="M7" i="19"/>
  <c r="N7" i="19" s="1"/>
  <c r="M22" i="19"/>
  <c r="N22" i="19" s="1"/>
  <c r="N8" i="19"/>
  <c r="L25" i="19"/>
  <c r="N9" i="19" l="1"/>
  <c r="N25" i="19"/>
  <c r="M25" i="19"/>
  <c r="O25" i="19" s="1"/>
  <c r="L3" i="19" l="1"/>
  <c r="M2" i="19"/>
  <c r="I82" i="17" l="1"/>
  <c r="I99" i="17"/>
  <c r="H93" i="17" l="1"/>
  <c r="E83" i="17"/>
  <c r="G83" i="17" s="1"/>
  <c r="I83" i="17" s="1"/>
  <c r="E77" i="17"/>
  <c r="H76" i="17"/>
  <c r="H72" i="17"/>
  <c r="H67" i="17"/>
  <c r="I66" i="17"/>
  <c r="E57" i="17"/>
  <c r="E21" i="6"/>
  <c r="E54" i="17"/>
  <c r="E50" i="17"/>
  <c r="H47" i="17"/>
  <c r="I62" i="17" l="1"/>
  <c r="F59" i="17"/>
  <c r="AA17" i="4" l="1"/>
  <c r="G37" i="17" l="1"/>
  <c r="G38" i="17"/>
  <c r="I38" i="17" s="1"/>
  <c r="G39" i="17"/>
  <c r="G41" i="17"/>
  <c r="I41" i="17" s="1"/>
  <c r="G42" i="17"/>
  <c r="I42" i="17" s="1"/>
  <c r="G43" i="17"/>
  <c r="I43" i="17" s="1"/>
  <c r="G44" i="17"/>
  <c r="I44" i="17" s="1"/>
  <c r="G45" i="17"/>
  <c r="I45" i="17" s="1"/>
  <c r="G46" i="17"/>
  <c r="E36" i="17"/>
  <c r="H37" i="17" l="1"/>
  <c r="I37" i="17" s="1"/>
  <c r="H39" i="17"/>
  <c r="I47" i="17"/>
  <c r="G36" i="17"/>
  <c r="H36" i="17" s="1"/>
  <c r="F40" i="17"/>
  <c r="L113" i="15"/>
  <c r="M113" i="15"/>
  <c r="M171" i="15"/>
  <c r="L184" i="15"/>
  <c r="L187" i="15" s="1"/>
  <c r="E217" i="15"/>
  <c r="M182" i="15"/>
  <c r="M178" i="15"/>
  <c r="M176" i="15"/>
  <c r="H40" i="17" l="1"/>
  <c r="I39" i="17"/>
  <c r="G40" i="17"/>
  <c r="I36" i="17"/>
  <c r="K71" i="2"/>
  <c r="I40" i="17" l="1"/>
  <c r="J47" i="2"/>
  <c r="F32" i="6" l="1"/>
  <c r="E31" i="6"/>
  <c r="J14" i="3" l="1"/>
  <c r="G38" i="3" l="1"/>
  <c r="G36" i="3"/>
  <c r="D54" i="3"/>
  <c r="E44" i="6"/>
  <c r="M19" i="4" l="1"/>
  <c r="E19" i="4"/>
  <c r="F19" i="4"/>
  <c r="O17" i="4"/>
  <c r="F77" i="17"/>
  <c r="F54" i="6"/>
  <c r="P17" i="4" l="1"/>
  <c r="L54" i="2" l="1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53" i="2"/>
  <c r="J71" i="2"/>
  <c r="G88" i="17"/>
  <c r="G87" i="17"/>
  <c r="E89" i="17"/>
  <c r="G80" i="17"/>
  <c r="I80" i="17" s="1"/>
  <c r="G81" i="17"/>
  <c r="I81" i="17" s="1"/>
  <c r="E93" i="17"/>
  <c r="I92" i="17"/>
  <c r="E75" i="17"/>
  <c r="E72" i="17"/>
  <c r="G71" i="17"/>
  <c r="I71" i="17" s="1"/>
  <c r="E67" i="17"/>
  <c r="I24" i="10"/>
  <c r="H24" i="10"/>
  <c r="G54" i="17"/>
  <c r="I54" i="17" s="1"/>
  <c r="F47" i="17"/>
  <c r="F96" i="6"/>
  <c r="F95" i="6"/>
  <c r="F85" i="6"/>
  <c r="M168" i="15"/>
  <c r="H177" i="15"/>
  <c r="H88" i="17" l="1"/>
  <c r="H89" i="17" s="1"/>
  <c r="G89" i="17"/>
  <c r="L71" i="2"/>
  <c r="G47" i="17"/>
  <c r="F21" i="6"/>
  <c r="E5" i="4"/>
  <c r="F5" i="4"/>
  <c r="G5" i="4"/>
  <c r="H5" i="4"/>
  <c r="I5" i="4"/>
  <c r="N5" i="4"/>
  <c r="P5" i="4"/>
  <c r="B7" i="4"/>
  <c r="B8" i="4"/>
  <c r="O8" i="4"/>
  <c r="P8" i="4"/>
  <c r="B9" i="4"/>
  <c r="C9" i="4"/>
  <c r="J9" i="4"/>
  <c r="O9" i="4"/>
  <c r="P9" i="4"/>
  <c r="B10" i="4"/>
  <c r="C10" i="4"/>
  <c r="O10" i="4"/>
  <c r="P10" i="4"/>
  <c r="U10" i="4"/>
  <c r="X10" i="4"/>
  <c r="B11" i="4"/>
  <c r="C11" i="4"/>
  <c r="N11" i="4"/>
  <c r="O11" i="4"/>
  <c r="P11" i="4"/>
  <c r="V11" i="4"/>
  <c r="X11" i="4"/>
  <c r="Y11" i="4"/>
  <c r="D213" i="15"/>
  <c r="F44" i="3"/>
  <c r="C57" i="3"/>
  <c r="I88" i="17" l="1"/>
  <c r="I89" i="17" s="1"/>
  <c r="D36" i="3"/>
  <c r="M181" i="15" l="1"/>
  <c r="M106" i="15"/>
  <c r="M173" i="15"/>
  <c r="M179" i="15"/>
  <c r="F48" i="17"/>
  <c r="M184" i="15" l="1"/>
  <c r="M187" i="15" s="1"/>
  <c r="D228" i="15"/>
  <c r="F113" i="6"/>
  <c r="E154" i="6" l="1"/>
  <c r="F154" i="6"/>
  <c r="F153" i="6"/>
  <c r="D154" i="6"/>
  <c r="E120" i="6"/>
  <c r="F120" i="6" s="1"/>
  <c r="G78" i="17"/>
  <c r="I78" i="17" s="1"/>
  <c r="G93" i="17" l="1"/>
  <c r="I91" i="17"/>
  <c r="I93" i="17" s="1"/>
  <c r="F106" i="6"/>
  <c r="G69" i="17"/>
  <c r="I69" i="17" s="1"/>
  <c r="G65" i="17"/>
  <c r="I65" i="17" s="1"/>
  <c r="I67" i="17" s="1"/>
  <c r="G64" i="17"/>
  <c r="E40" i="17"/>
  <c r="G8" i="18"/>
  <c r="G9" i="18"/>
  <c r="G10" i="18"/>
  <c r="G11" i="18"/>
  <c r="G7" i="18"/>
  <c r="F8" i="18"/>
  <c r="F9" i="18"/>
  <c r="F10" i="18"/>
  <c r="F11" i="18"/>
  <c r="F12" i="18"/>
  <c r="F7" i="18"/>
  <c r="C12" i="18"/>
  <c r="G12" i="18" s="1"/>
  <c r="N178" i="15"/>
  <c r="O179" i="15"/>
  <c r="M180" i="15"/>
  <c r="N180" i="15"/>
  <c r="O180" i="15" s="1"/>
  <c r="N181" i="15"/>
  <c r="O181" i="15" s="1"/>
  <c r="N182" i="15"/>
  <c r="O182" i="15" s="1"/>
  <c r="M183" i="15"/>
  <c r="O183" i="15"/>
  <c r="P167" i="15"/>
  <c r="Q167" i="15"/>
  <c r="P168" i="15"/>
  <c r="Q168" i="15" s="1"/>
  <c r="P169" i="15"/>
  <c r="Q169" i="15"/>
  <c r="P170" i="15"/>
  <c r="Q170" i="15"/>
  <c r="P172" i="15"/>
  <c r="Q172" i="15"/>
  <c r="P174" i="15"/>
  <c r="Q174" i="15"/>
  <c r="P175" i="15"/>
  <c r="Q175" i="15"/>
  <c r="P177" i="15"/>
  <c r="Q177" i="15" s="1"/>
  <c r="P179" i="15"/>
  <c r="Q179" i="15" s="1"/>
  <c r="P181" i="15"/>
  <c r="Q181" i="15" s="1"/>
  <c r="P183" i="15"/>
  <c r="Q183" i="15" s="1"/>
  <c r="Q166" i="15"/>
  <c r="P166" i="15"/>
  <c r="N171" i="15"/>
  <c r="P171" i="15" s="1"/>
  <c r="Q171" i="15" s="1"/>
  <c r="N176" i="15"/>
  <c r="P176" i="15" s="1"/>
  <c r="Q176" i="15" s="1"/>
  <c r="N173" i="15"/>
  <c r="O173" i="15" s="1"/>
  <c r="N169" i="15"/>
  <c r="I226" i="15"/>
  <c r="P103" i="15"/>
  <c r="P104" i="15"/>
  <c r="P105" i="15"/>
  <c r="P109" i="15"/>
  <c r="Q94" i="15"/>
  <c r="Q95" i="15"/>
  <c r="Q96" i="15"/>
  <c r="Q97" i="15"/>
  <c r="Q98" i="15"/>
  <c r="Q99" i="15"/>
  <c r="Q101" i="15"/>
  <c r="Q102" i="15"/>
  <c r="Q103" i="15"/>
  <c r="Q104" i="15"/>
  <c r="Q105" i="15"/>
  <c r="Q109" i="15"/>
  <c r="Q93" i="15"/>
  <c r="N107" i="15"/>
  <c r="N106" i="15"/>
  <c r="P106" i="15" s="1"/>
  <c r="P180" i="15" l="1"/>
  <c r="Q180" i="15" s="1"/>
  <c r="P182" i="15"/>
  <c r="Q182" i="15" s="1"/>
  <c r="G67" i="17"/>
  <c r="O178" i="15"/>
  <c r="P178" i="15"/>
  <c r="Q178" i="15" s="1"/>
  <c r="Q106" i="15"/>
  <c r="P173" i="15"/>
  <c r="Q173" i="15" s="1"/>
  <c r="D31" i="3" l="1"/>
  <c r="E29" i="3"/>
  <c r="H85" i="15" l="1"/>
  <c r="D59" i="15"/>
  <c r="I16" i="4" l="1"/>
  <c r="J16" i="4"/>
  <c r="D240" i="15" l="1"/>
  <c r="M175" i="15"/>
  <c r="M167" i="15"/>
  <c r="D191" i="15"/>
  <c r="M172" i="15" s="1"/>
  <c r="M170" i="15"/>
  <c r="M166" i="15"/>
  <c r="AA19" i="4"/>
  <c r="E103" i="6" s="1"/>
  <c r="F103" i="6" s="1"/>
  <c r="AA16" i="4"/>
  <c r="D139" i="6"/>
  <c r="F52" i="6"/>
  <c r="F53" i="6"/>
  <c r="D28" i="6"/>
  <c r="E31" i="3"/>
  <c r="F30" i="3"/>
  <c r="G30" i="3"/>
  <c r="F61" i="17" l="1"/>
  <c r="E22" i="6" s="1"/>
  <c r="H79" i="15"/>
  <c r="F24" i="6"/>
  <c r="P16" i="4" l="1"/>
  <c r="M177" i="15"/>
  <c r="F15" i="6"/>
  <c r="F14" i="6"/>
  <c r="F13" i="6"/>
  <c r="D16" i="6" l="1"/>
  <c r="D139" i="15"/>
  <c r="F60" i="6"/>
  <c r="D229" i="15"/>
  <c r="D241" i="15"/>
  <c r="D61" i="15"/>
  <c r="G44" i="3" l="1"/>
  <c r="P96" i="15" l="1"/>
  <c r="P97" i="15"/>
  <c r="P98" i="15"/>
  <c r="P99" i="15"/>
  <c r="P101" i="15"/>
  <c r="P102" i="15"/>
  <c r="P95" i="15"/>
  <c r="D12" i="16" l="1"/>
  <c r="D238" i="15"/>
  <c r="D152" i="15" l="1"/>
  <c r="E20" i="6" s="1"/>
  <c r="M94" i="15"/>
  <c r="D231" i="15"/>
  <c r="D242" i="15"/>
  <c r="I59" i="15" l="1"/>
  <c r="I53" i="15"/>
  <c r="D55" i="15"/>
  <c r="O15" i="4" l="1"/>
  <c r="N12" i="4" l="1"/>
  <c r="T19" i="4" l="1"/>
  <c r="J47" i="13"/>
  <c r="I47" i="13"/>
  <c r="P15" i="4" l="1"/>
  <c r="F51" i="6"/>
  <c r="F76" i="17" l="1"/>
  <c r="F72" i="17"/>
  <c r="E25" i="6" s="1"/>
  <c r="F25" i="6" s="1"/>
  <c r="G70" i="17"/>
  <c r="AA15" i="4"/>
  <c r="D64" i="15"/>
  <c r="F22" i="6"/>
  <c r="E65" i="6"/>
  <c r="G72" i="17" l="1"/>
  <c r="I70" i="17"/>
  <c r="I72" i="17" s="1"/>
  <c r="G57" i="17"/>
  <c r="E58" i="17"/>
  <c r="G58" i="17" s="1"/>
  <c r="I58" i="17" s="1"/>
  <c r="E59" i="17"/>
  <c r="G59" i="17" s="1"/>
  <c r="I59" i="17" s="1"/>
  <c r="E60" i="17"/>
  <c r="G60" i="17" s="1"/>
  <c r="I60" i="17" s="1"/>
  <c r="E61" i="17"/>
  <c r="G61" i="17" s="1"/>
  <c r="I61" i="17" s="1"/>
  <c r="E56" i="17"/>
  <c r="E79" i="17"/>
  <c r="E53" i="17"/>
  <c r="G53" i="17" s="1"/>
  <c r="I53" i="17" s="1"/>
  <c r="E52" i="17"/>
  <c r="G52" i="17" s="1"/>
  <c r="I52" i="17" s="1"/>
  <c r="E51" i="17"/>
  <c r="G51" i="17" s="1"/>
  <c r="I51" i="17" s="1"/>
  <c r="G50" i="17"/>
  <c r="E49" i="17"/>
  <c r="G49" i="17" s="1"/>
  <c r="I49" i="17" s="1"/>
  <c r="E48" i="17"/>
  <c r="H50" i="17" l="1"/>
  <c r="H55" i="17" s="1"/>
  <c r="H57" i="17"/>
  <c r="H63" i="17" s="1"/>
  <c r="E55" i="17"/>
  <c r="G79" i="17"/>
  <c r="I79" i="17" s="1"/>
  <c r="E86" i="17"/>
  <c r="G56" i="17"/>
  <c r="E63" i="17"/>
  <c r="G77" i="17"/>
  <c r="G48" i="17"/>
  <c r="D11" i="16"/>
  <c r="D10" i="16"/>
  <c r="D60" i="15"/>
  <c r="D67" i="15"/>
  <c r="D58" i="15"/>
  <c r="D57" i="15"/>
  <c r="H95" i="17" l="1"/>
  <c r="I50" i="17"/>
  <c r="I57" i="17"/>
  <c r="G86" i="17"/>
  <c r="I77" i="17"/>
  <c r="I86" i="17" s="1"/>
  <c r="G55" i="17"/>
  <c r="I48" i="17"/>
  <c r="I55" i="17" s="1"/>
  <c r="G63" i="17"/>
  <c r="K63" i="17" s="1"/>
  <c r="I56" i="17"/>
  <c r="D237" i="15"/>
  <c r="I63" i="17" l="1"/>
  <c r="I54" i="15"/>
  <c r="I55" i="15"/>
  <c r="I56" i="15"/>
  <c r="I57" i="15"/>
  <c r="I58" i="15"/>
  <c r="I60" i="15"/>
  <c r="I61" i="15"/>
  <c r="I62" i="15"/>
  <c r="I63" i="15"/>
  <c r="I64" i="15"/>
  <c r="I65" i="15"/>
  <c r="I66" i="15"/>
  <c r="I67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52" i="15"/>
  <c r="I229" i="15"/>
  <c r="I231" i="15"/>
  <c r="I232" i="15"/>
  <c r="I233" i="15"/>
  <c r="I234" i="15"/>
  <c r="I235" i="15"/>
  <c r="I237" i="15"/>
  <c r="I238" i="15"/>
  <c r="I240" i="15"/>
  <c r="I227" i="15"/>
  <c r="H227" i="15"/>
  <c r="H229" i="15"/>
  <c r="H231" i="15"/>
  <c r="H232" i="15"/>
  <c r="H233" i="15"/>
  <c r="H234" i="15"/>
  <c r="H235" i="15"/>
  <c r="H237" i="15"/>
  <c r="H238" i="15"/>
  <c r="H240" i="15"/>
  <c r="D150" i="15" l="1"/>
  <c r="N110" i="15"/>
  <c r="N113" i="15" s="1"/>
  <c r="M107" i="15"/>
  <c r="L107" i="15"/>
  <c r="L100" i="15"/>
  <c r="N177" i="15"/>
  <c r="N184" i="15" s="1"/>
  <c r="N187" i="15" s="1"/>
  <c r="L170" i="15"/>
  <c r="O170" i="15" s="1"/>
  <c r="L178" i="15"/>
  <c r="L179" i="15"/>
  <c r="L173" i="15"/>
  <c r="P107" i="15" l="1"/>
  <c r="Q107" i="15"/>
  <c r="O107" i="15"/>
  <c r="P184" i="15" l="1"/>
  <c r="L183" i="15"/>
  <c r="L166" i="15"/>
  <c r="O166" i="15" s="1"/>
  <c r="M93" i="15"/>
  <c r="L106" i="15"/>
  <c r="L93" i="15"/>
  <c r="O93" i="15" s="1"/>
  <c r="H70" i="15"/>
  <c r="H71" i="15"/>
  <c r="H72" i="15"/>
  <c r="H73" i="15"/>
  <c r="H74" i="15"/>
  <c r="H75" i="15"/>
  <c r="H76" i="15"/>
  <c r="H77" i="15"/>
  <c r="H78" i="15"/>
  <c r="H80" i="15"/>
  <c r="H81" i="15"/>
  <c r="H82" i="15"/>
  <c r="H83" i="15"/>
  <c r="H84" i="15"/>
  <c r="H69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52" i="15"/>
  <c r="L177" i="15"/>
  <c r="O177" i="15" s="1"/>
  <c r="L181" i="15"/>
  <c r="L182" i="15"/>
  <c r="L176" i="15"/>
  <c r="O176" i="15" s="1"/>
  <c r="L175" i="15"/>
  <c r="O175" i="15" s="1"/>
  <c r="L174" i="15"/>
  <c r="O174" i="15" s="1"/>
  <c r="L180" i="15"/>
  <c r="L172" i="15"/>
  <c r="O172" i="15" s="1"/>
  <c r="L171" i="15"/>
  <c r="O171" i="15" s="1"/>
  <c r="L169" i="15"/>
  <c r="O169" i="15" s="1"/>
  <c r="L168" i="15"/>
  <c r="O168" i="15" s="1"/>
  <c r="L167" i="15"/>
  <c r="O167" i="15" s="1"/>
  <c r="M97" i="15"/>
  <c r="M109" i="15"/>
  <c r="L109" i="15"/>
  <c r="M108" i="15"/>
  <c r="L108" i="15"/>
  <c r="L105" i="15"/>
  <c r="L104" i="15"/>
  <c r="M103" i="15"/>
  <c r="L103" i="15"/>
  <c r="L102" i="15"/>
  <c r="M101" i="15"/>
  <c r="L101" i="15"/>
  <c r="M99" i="15"/>
  <c r="L99" i="15"/>
  <c r="O99" i="15" s="1"/>
  <c r="M98" i="15"/>
  <c r="L98" i="15"/>
  <c r="Q184" i="15" l="1"/>
  <c r="P187" i="15"/>
  <c r="Q187" i="15" s="1"/>
  <c r="Q108" i="15"/>
  <c r="P108" i="15"/>
  <c r="O184" i="15"/>
  <c r="O187" i="15" s="1"/>
  <c r="O108" i="15"/>
  <c r="O98" i="15"/>
  <c r="O109" i="15"/>
  <c r="O106" i="15"/>
  <c r="O101" i="15"/>
  <c r="O102" i="15"/>
  <c r="O104" i="15"/>
  <c r="O103" i="15"/>
  <c r="D217" i="15"/>
  <c r="C217" i="15"/>
  <c r="F215" i="15"/>
  <c r="H215" i="15" s="1"/>
  <c r="F214" i="15"/>
  <c r="F213" i="15"/>
  <c r="H213" i="15" s="1"/>
  <c r="F212" i="15"/>
  <c r="F211" i="15"/>
  <c r="H211" i="15" s="1"/>
  <c r="F210" i="15"/>
  <c r="H210" i="15" s="1"/>
  <c r="F209" i="15"/>
  <c r="F208" i="15"/>
  <c r="F204" i="15"/>
  <c r="F203" i="15"/>
  <c r="H203" i="15" s="1"/>
  <c r="F202" i="15"/>
  <c r="F201" i="15"/>
  <c r="H201" i="15" s="1"/>
  <c r="F200" i="15"/>
  <c r="H200" i="15" s="1"/>
  <c r="F199" i="15"/>
  <c r="F198" i="15"/>
  <c r="H198" i="15" s="1"/>
  <c r="F197" i="15"/>
  <c r="F196" i="15"/>
  <c r="F195" i="15"/>
  <c r="H195" i="15" s="1"/>
  <c r="F194" i="15"/>
  <c r="H194" i="15" s="1"/>
  <c r="F193" i="15"/>
  <c r="H193" i="15" s="1"/>
  <c r="F192" i="15"/>
  <c r="F191" i="15"/>
  <c r="H191" i="15" s="1"/>
  <c r="F190" i="15"/>
  <c r="F189" i="15"/>
  <c r="H189" i="15" s="1"/>
  <c r="F188" i="15"/>
  <c r="H188" i="15" s="1"/>
  <c r="F187" i="15"/>
  <c r="F186" i="15"/>
  <c r="H186" i="15" s="1"/>
  <c r="F185" i="15"/>
  <c r="H185" i="15" s="1"/>
  <c r="F184" i="15"/>
  <c r="F183" i="15"/>
  <c r="H183" i="15" s="1"/>
  <c r="F182" i="15"/>
  <c r="H182" i="15" s="1"/>
  <c r="F181" i="15"/>
  <c r="F180" i="15"/>
  <c r="F179" i="15"/>
  <c r="F178" i="15"/>
  <c r="F177" i="15"/>
  <c r="F176" i="15"/>
  <c r="F175" i="15"/>
  <c r="H175" i="15" s="1"/>
  <c r="F174" i="15"/>
  <c r="H174" i="15" s="1"/>
  <c r="F173" i="15"/>
  <c r="H173" i="15" s="1"/>
  <c r="F172" i="15"/>
  <c r="F171" i="15"/>
  <c r="H171" i="15" s="1"/>
  <c r="F170" i="15"/>
  <c r="H170" i="15" s="1"/>
  <c r="F169" i="15"/>
  <c r="H169" i="15" s="1"/>
  <c r="F168" i="15"/>
  <c r="H168" i="15" s="1"/>
  <c r="F167" i="15"/>
  <c r="H167" i="15" s="1"/>
  <c r="F166" i="15"/>
  <c r="H166" i="15" s="1"/>
  <c r="F165" i="15"/>
  <c r="H165" i="15" s="1"/>
  <c r="F164" i="15"/>
  <c r="H164" i="15" s="1"/>
  <c r="F163" i="15"/>
  <c r="H163" i="15" s="1"/>
  <c r="F162" i="15"/>
  <c r="L97" i="15"/>
  <c r="O97" i="15" s="1"/>
  <c r="M96" i="15"/>
  <c r="L96" i="15"/>
  <c r="M95" i="15"/>
  <c r="L95" i="15"/>
  <c r="L94" i="15"/>
  <c r="H217" i="15" l="1"/>
  <c r="K218" i="15"/>
  <c r="E23" i="6"/>
  <c r="F23" i="6" s="1"/>
  <c r="P113" i="15"/>
  <c r="O94" i="15"/>
  <c r="O95" i="15"/>
  <c r="O96" i="15"/>
  <c r="P93" i="15"/>
  <c r="F217" i="15"/>
  <c r="G217" i="15" s="1"/>
  <c r="H162" i="15"/>
  <c r="F70" i="15" l="1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69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52" i="15"/>
  <c r="C68" i="15"/>
  <c r="F85" i="15" l="1"/>
  <c r="F68" i="15"/>
  <c r="G85" i="15"/>
  <c r="G68" i="15"/>
  <c r="E85" i="15"/>
  <c r="D85" i="15"/>
  <c r="C85" i="15"/>
  <c r="E68" i="15"/>
  <c r="D68" i="15"/>
  <c r="E11" i="6" l="1"/>
  <c r="I85" i="15"/>
  <c r="I68" i="15"/>
  <c r="H68" i="15"/>
  <c r="T14" i="4"/>
  <c r="D127" i="15"/>
  <c r="I14" i="4"/>
  <c r="O14" i="4"/>
  <c r="O100" i="15" l="1"/>
  <c r="Q100" i="15"/>
  <c r="P100" i="15"/>
  <c r="E118" i="6"/>
  <c r="P112" i="15" l="1"/>
  <c r="O112" i="15"/>
  <c r="D145" i="15"/>
  <c r="M105" i="15" s="1"/>
  <c r="O105" i="15" s="1"/>
  <c r="O110" i="15" s="1"/>
  <c r="O113" i="15" s="1"/>
  <c r="W14" i="4"/>
  <c r="P14" i="4"/>
  <c r="D230" i="15"/>
  <c r="I230" i="15" l="1"/>
  <c r="H230" i="15"/>
  <c r="K16" i="10"/>
  <c r="MD27" i="13"/>
  <c r="I46" i="13"/>
  <c r="F46" i="13"/>
  <c r="D46" i="13"/>
  <c r="C46" i="13"/>
  <c r="MD21" i="13"/>
  <c r="MD20" i="13"/>
  <c r="MD22" i="13"/>
  <c r="F46" i="3" l="1"/>
  <c r="E163" i="6"/>
  <c r="D163" i="6"/>
  <c r="F157" i="6" s="1"/>
  <c r="E122" i="6"/>
  <c r="F152" i="6"/>
  <c r="F151" i="6"/>
  <c r="F119" i="6"/>
  <c r="F118" i="6"/>
  <c r="F11" i="6"/>
  <c r="E13" i="3" l="1"/>
  <c r="K13" i="3" s="1"/>
  <c r="F122" i="6"/>
  <c r="AA14" i="4"/>
  <c r="F143" i="15" l="1"/>
  <c r="C152" i="15" l="1"/>
  <c r="E152" i="15"/>
  <c r="G152" i="15"/>
  <c r="E236" i="15"/>
  <c r="F93" i="15"/>
  <c r="F94" i="15"/>
  <c r="H94" i="15" s="1"/>
  <c r="F95" i="15"/>
  <c r="H95" i="15" s="1"/>
  <c r="F96" i="15"/>
  <c r="H96" i="15" s="1"/>
  <c r="F97" i="15"/>
  <c r="H97" i="15" s="1"/>
  <c r="F98" i="15"/>
  <c r="H98" i="15" s="1"/>
  <c r="F99" i="15"/>
  <c r="H99" i="15" s="1"/>
  <c r="F100" i="15"/>
  <c r="F101" i="15"/>
  <c r="F102" i="15"/>
  <c r="F103" i="15"/>
  <c r="F104" i="15"/>
  <c r="F105" i="15"/>
  <c r="H105" i="15" s="1"/>
  <c r="F106" i="15"/>
  <c r="H106" i="15" s="1"/>
  <c r="F107" i="15"/>
  <c r="H107" i="15" s="1"/>
  <c r="F108" i="15"/>
  <c r="H108" i="15" s="1"/>
  <c r="F109" i="15"/>
  <c r="F110" i="15"/>
  <c r="H110" i="15" s="1"/>
  <c r="F111" i="15"/>
  <c r="H111" i="15" s="1"/>
  <c r="F112" i="15"/>
  <c r="H112" i="15" s="1"/>
  <c r="F113" i="15"/>
  <c r="H113" i="15" s="1"/>
  <c r="F114" i="15"/>
  <c r="F115" i="15"/>
  <c r="H115" i="15" s="1"/>
  <c r="F116" i="15"/>
  <c r="H116" i="15" s="1"/>
  <c r="F117" i="15"/>
  <c r="F118" i="15"/>
  <c r="H118" i="15" s="1"/>
  <c r="F119" i="15"/>
  <c r="H119" i="15" s="1"/>
  <c r="F120" i="15"/>
  <c r="F121" i="15"/>
  <c r="H121" i="15" s="1"/>
  <c r="F122" i="15"/>
  <c r="H122" i="15" s="1"/>
  <c r="F123" i="15"/>
  <c r="H123" i="15" s="1"/>
  <c r="F124" i="15"/>
  <c r="H124" i="15" s="1"/>
  <c r="F125" i="15"/>
  <c r="F126" i="15"/>
  <c r="H126" i="15" s="1"/>
  <c r="F127" i="15"/>
  <c r="H127" i="15" s="1"/>
  <c r="F128" i="15"/>
  <c r="H128" i="15" s="1"/>
  <c r="F129" i="15"/>
  <c r="F130" i="15"/>
  <c r="F131" i="15"/>
  <c r="H131" i="15" s="1"/>
  <c r="F132" i="15"/>
  <c r="F133" i="15"/>
  <c r="H133" i="15" s="1"/>
  <c r="F134" i="15"/>
  <c r="H134" i="15" s="1"/>
  <c r="H152" i="15" s="1"/>
  <c r="F135" i="15"/>
  <c r="H135" i="15" s="1"/>
  <c r="F136" i="15"/>
  <c r="F137" i="15"/>
  <c r="H137" i="15" s="1"/>
  <c r="F138" i="15"/>
  <c r="F139" i="15"/>
  <c r="F144" i="15"/>
  <c r="F145" i="15"/>
  <c r="H145" i="15" s="1"/>
  <c r="F146" i="15"/>
  <c r="H146" i="15" s="1"/>
  <c r="F147" i="15"/>
  <c r="F148" i="15"/>
  <c r="H148" i="15" s="1"/>
  <c r="F149" i="15"/>
  <c r="F150" i="15"/>
  <c r="H150" i="15" s="1"/>
  <c r="I241" i="15" l="1"/>
  <c r="H241" i="15"/>
  <c r="I236" i="15"/>
  <c r="H236" i="15"/>
  <c r="H239" i="15"/>
  <c r="I239" i="15"/>
  <c r="H228" i="15"/>
  <c r="I228" i="15"/>
  <c r="H226" i="15"/>
  <c r="H93" i="15"/>
  <c r="F152" i="15"/>
  <c r="E242" i="15"/>
  <c r="I242" i="15" s="1"/>
  <c r="W13" i="4" l="1"/>
  <c r="T13" i="4"/>
  <c r="C13" i="4"/>
  <c r="AG19" i="4" l="1"/>
  <c r="AG20" i="4" s="1"/>
  <c r="P45" i="13"/>
  <c r="E115" i="6" l="1"/>
  <c r="E12" i="3" s="1"/>
  <c r="F38" i="6"/>
  <c r="F39" i="6"/>
  <c r="F31" i="6"/>
  <c r="K12" i="3" l="1"/>
  <c r="F112" i="6"/>
  <c r="F115" i="6" s="1"/>
  <c r="F237" i="15"/>
  <c r="L110" i="15" l="1"/>
  <c r="K14" i="16" l="1"/>
  <c r="D22" i="15" l="1"/>
  <c r="W19" i="4" l="1"/>
  <c r="E64" i="6" s="1"/>
  <c r="O13" i="4"/>
  <c r="P13" i="4"/>
  <c r="D13" i="3" l="1"/>
  <c r="F50" i="6"/>
  <c r="D8" i="3"/>
  <c r="D41" i="6"/>
  <c r="M8" i="3" l="1"/>
  <c r="M13" i="3"/>
  <c r="F13" i="3"/>
  <c r="F163" i="6"/>
  <c r="I45" i="13" l="1"/>
  <c r="F45" i="13"/>
  <c r="D45" i="13"/>
  <c r="J45" i="13"/>
  <c r="H45" i="13"/>
  <c r="G45" i="13"/>
  <c r="C45" i="13"/>
  <c r="K46" i="2" l="1"/>
  <c r="D57" i="3" s="1"/>
  <c r="E57" i="3" s="1"/>
  <c r="D46" i="3"/>
  <c r="F36" i="3"/>
  <c r="E38" i="3"/>
  <c r="C242" i="15"/>
  <c r="F240" i="15"/>
  <c r="F227" i="15"/>
  <c r="KN31" i="13"/>
  <c r="AA12" i="4"/>
  <c r="C12" i="4"/>
  <c r="F231" i="15" l="1"/>
  <c r="G231" i="15" s="1"/>
  <c r="F226" i="15"/>
  <c r="G226" i="15" s="1"/>
  <c r="F239" i="15"/>
  <c r="G239" i="15" s="1"/>
  <c r="F238" i="15"/>
  <c r="G238" i="15" s="1"/>
  <c r="F241" i="15"/>
  <c r="F236" i="15"/>
  <c r="G236" i="15" s="1"/>
  <c r="F234" i="15"/>
  <c r="F235" i="15"/>
  <c r="G235" i="15" s="1"/>
  <c r="G232" i="15"/>
  <c r="F233" i="15"/>
  <c r="F228" i="15"/>
  <c r="F229" i="15"/>
  <c r="G229" i="15" s="1"/>
  <c r="F230" i="15"/>
  <c r="G230" i="15" s="1"/>
  <c r="G237" i="15"/>
  <c r="G240" i="15"/>
  <c r="G227" i="15"/>
  <c r="F242" i="15" l="1"/>
  <c r="G242" i="15" s="1"/>
  <c r="G234" i="15"/>
  <c r="G241" i="15"/>
  <c r="G233" i="15"/>
  <c r="G228" i="15"/>
  <c r="H242" i="15" l="1"/>
  <c r="P94" i="15" l="1"/>
  <c r="D13" i="16"/>
  <c r="D9" i="16"/>
  <c r="D8" i="16"/>
  <c r="M110" i="15" l="1"/>
  <c r="M12" i="16"/>
  <c r="L12" i="16"/>
  <c r="L10" i="16"/>
  <c r="M10" i="16"/>
  <c r="L13" i="16"/>
  <c r="M13" i="16"/>
  <c r="I8" i="16"/>
  <c r="L8" i="16"/>
  <c r="M8" i="16"/>
  <c r="M9" i="16"/>
  <c r="L9" i="16"/>
  <c r="L11" i="16"/>
  <c r="M11" i="16"/>
  <c r="D14" i="16"/>
  <c r="P110" i="15" l="1"/>
  <c r="L14" i="16"/>
  <c r="M14" i="16"/>
  <c r="F64" i="6"/>
  <c r="F65" i="6"/>
  <c r="F66" i="6"/>
  <c r="F67" i="6"/>
  <c r="F68" i="6"/>
  <c r="F48" i="6"/>
  <c r="F49" i="6"/>
  <c r="J8" i="16" l="1"/>
  <c r="A2" i="8"/>
  <c r="AE12" i="4"/>
  <c r="U12" i="4" l="1"/>
  <c r="E12" i="4"/>
  <c r="D15" i="16"/>
  <c r="D23" i="15"/>
  <c r="D11" i="15"/>
  <c r="D32" i="15"/>
  <c r="G38" i="16" l="1"/>
  <c r="E38" i="16"/>
  <c r="F38" i="16"/>
  <c r="D38" i="16"/>
  <c r="D36" i="16"/>
  <c r="G36" i="16" s="1"/>
  <c r="G37" i="16"/>
  <c r="E37" i="16"/>
  <c r="F37" i="16"/>
  <c r="D37" i="16"/>
  <c r="E36" i="16"/>
  <c r="F36" i="16"/>
  <c r="E35" i="16"/>
  <c r="F35" i="16"/>
  <c r="G35" i="16"/>
  <c r="D35" i="16"/>
  <c r="AB10" i="16" l="1"/>
  <c r="AC10" i="16"/>
  <c r="AB11" i="16"/>
  <c r="AC11" i="16"/>
  <c r="AC12" i="16"/>
  <c r="D16" i="15"/>
  <c r="O12" i="4"/>
  <c r="I13" i="16" l="1"/>
  <c r="J12" i="16"/>
  <c r="J11" i="16"/>
  <c r="J10" i="16"/>
  <c r="J9" i="16"/>
  <c r="I11" i="16"/>
  <c r="I12" i="16"/>
  <c r="T12" i="4"/>
  <c r="D17" i="15"/>
  <c r="S19" i="4"/>
  <c r="E37" i="6" s="1"/>
  <c r="F37" i="6" s="1"/>
  <c r="AA11" i="4"/>
  <c r="P12" i="4"/>
  <c r="I19" i="4"/>
  <c r="E149" i="6"/>
  <c r="F149" i="6"/>
  <c r="F9" i="16"/>
  <c r="F10" i="16"/>
  <c r="F11" i="16"/>
  <c r="F12" i="16"/>
  <c r="F13" i="16"/>
  <c r="F8" i="16"/>
  <c r="G9" i="16"/>
  <c r="G10" i="16"/>
  <c r="G11" i="16"/>
  <c r="G12" i="16"/>
  <c r="G13" i="16"/>
  <c r="G8" i="16"/>
  <c r="E14" i="16"/>
  <c r="F14" i="16" s="1"/>
  <c r="J14" i="16" l="1"/>
  <c r="G14" i="16"/>
  <c r="I10" i="16"/>
  <c r="J13" i="16"/>
  <c r="I9" i="16"/>
  <c r="I14" i="16" l="1"/>
  <c r="I44" i="13"/>
  <c r="J44" i="13"/>
  <c r="H44" i="13"/>
  <c r="G44" i="13" l="1"/>
  <c r="F44" i="13"/>
  <c r="D44" i="13"/>
  <c r="C44" i="13"/>
  <c r="A2" i="6" l="1"/>
  <c r="C23" i="8" l="1"/>
  <c r="F46" i="15" l="1"/>
  <c r="C46" i="15"/>
  <c r="C45" i="15"/>
  <c r="C43" i="15"/>
  <c r="E42" i="15"/>
  <c r="D42" i="15"/>
  <c r="C42" i="15"/>
  <c r="E41" i="15"/>
  <c r="C41" i="15"/>
  <c r="C39" i="15"/>
  <c r="E38" i="15"/>
  <c r="C38" i="15"/>
  <c r="F37" i="15"/>
  <c r="C37" i="15"/>
  <c r="E36" i="15"/>
  <c r="D36" i="15"/>
  <c r="C36" i="15"/>
  <c r="E35" i="15"/>
  <c r="C35" i="15"/>
  <c r="C34" i="15"/>
  <c r="E32" i="15"/>
  <c r="F32" i="15" s="1"/>
  <c r="C32" i="15"/>
  <c r="E31" i="15"/>
  <c r="D31" i="15"/>
  <c r="C31" i="15"/>
  <c r="C23" i="15"/>
  <c r="C22" i="15"/>
  <c r="F21" i="15"/>
  <c r="C21" i="15"/>
  <c r="E20" i="15"/>
  <c r="C20" i="15"/>
  <c r="C19" i="15"/>
  <c r="C18" i="15"/>
  <c r="C17" i="15"/>
  <c r="C16" i="15"/>
  <c r="C15" i="15"/>
  <c r="E14" i="15"/>
  <c r="C14" i="15"/>
  <c r="C13" i="15"/>
  <c r="F12" i="15"/>
  <c r="C12" i="15"/>
  <c r="E11" i="15"/>
  <c r="F11" i="15" s="1"/>
  <c r="C11" i="15"/>
  <c r="E10" i="15"/>
  <c r="C10" i="15"/>
  <c r="C9" i="15"/>
  <c r="E8" i="15"/>
  <c r="C8" i="15"/>
  <c r="F41" i="15" l="1"/>
  <c r="G41" i="15" s="1"/>
  <c r="F36" i="15"/>
  <c r="D24" i="15"/>
  <c r="E47" i="15"/>
  <c r="C24" i="15"/>
  <c r="E24" i="15"/>
  <c r="C47" i="15"/>
  <c r="D47" i="15"/>
  <c r="C18" i="4" s="1"/>
  <c r="G37" i="15"/>
  <c r="H36" i="15"/>
  <c r="H46" i="15"/>
  <c r="H41" i="15"/>
  <c r="F10" i="15"/>
  <c r="G10" i="15" s="1"/>
  <c r="F38" i="15"/>
  <c r="G38" i="15" s="1"/>
  <c r="F43" i="15"/>
  <c r="G43" i="15" s="1"/>
  <c r="F45" i="15"/>
  <c r="G45" i="15" s="1"/>
  <c r="H11" i="15"/>
  <c r="F8" i="15"/>
  <c r="F20" i="15"/>
  <c r="G20" i="15" s="1"/>
  <c r="F9" i="15"/>
  <c r="G9" i="15" s="1"/>
  <c r="F14" i="15"/>
  <c r="H14" i="15" s="1"/>
  <c r="F18" i="15"/>
  <c r="H18" i="15" s="1"/>
  <c r="F22" i="15"/>
  <c r="G22" i="15" s="1"/>
  <c r="F34" i="15"/>
  <c r="H34" i="15" s="1"/>
  <c r="F15" i="15"/>
  <c r="H15" i="15" s="1"/>
  <c r="F23" i="15"/>
  <c r="H23" i="15" s="1"/>
  <c r="F39" i="15"/>
  <c r="G39" i="15" s="1"/>
  <c r="F16" i="15"/>
  <c r="H16" i="15" s="1"/>
  <c r="F31" i="15"/>
  <c r="H21" i="15"/>
  <c r="H32" i="15"/>
  <c r="F17" i="15"/>
  <c r="G17" i="15" s="1"/>
  <c r="G21" i="15"/>
  <c r="G11" i="15"/>
  <c r="F19" i="15"/>
  <c r="G19" i="15" s="1"/>
  <c r="H12" i="15"/>
  <c r="F42" i="15"/>
  <c r="G42" i="15" s="1"/>
  <c r="F13" i="15"/>
  <c r="G13" i="15" s="1"/>
  <c r="G32" i="15"/>
  <c r="F35" i="15"/>
  <c r="G35" i="15" s="1"/>
  <c r="H37" i="15"/>
  <c r="G12" i="15"/>
  <c r="G36" i="15"/>
  <c r="G46" i="15"/>
  <c r="H43" i="15" l="1"/>
  <c r="G23" i="15"/>
  <c r="G8" i="15"/>
  <c r="F24" i="15"/>
  <c r="G24" i="15" s="1"/>
  <c r="H10" i="15"/>
  <c r="H38" i="15"/>
  <c r="H31" i="15"/>
  <c r="F47" i="15"/>
  <c r="G47" i="15" s="1"/>
  <c r="H9" i="15"/>
  <c r="H45" i="15"/>
  <c r="H8" i="15"/>
  <c r="G34" i="15"/>
  <c r="H22" i="15"/>
  <c r="G16" i="15"/>
  <c r="G18" i="15"/>
  <c r="G14" i="15"/>
  <c r="H17" i="15"/>
  <c r="H20" i="15"/>
  <c r="G31" i="15"/>
  <c r="G15" i="15"/>
  <c r="H19" i="15"/>
  <c r="H39" i="15"/>
  <c r="H13" i="15"/>
  <c r="H42" i="15"/>
  <c r="H35" i="15"/>
  <c r="H24" i="15" l="1"/>
  <c r="H47" i="15"/>
  <c r="F29" i="3"/>
  <c r="G29" i="3"/>
  <c r="AE19" i="4"/>
  <c r="N19" i="4"/>
  <c r="P43" i="13"/>
  <c r="V19" i="4"/>
  <c r="V20" i="4" s="1"/>
  <c r="E59" i="6" l="1"/>
  <c r="F59" i="6" s="1"/>
  <c r="AA10" i="4" l="1"/>
  <c r="AD10" i="4" l="1"/>
  <c r="FE31" i="13"/>
  <c r="AC19" i="4"/>
  <c r="AC20" i="4" s="1"/>
  <c r="Y19" i="4" l="1"/>
  <c r="E63" i="6" s="1"/>
  <c r="R19" i="4"/>
  <c r="I43" i="13"/>
  <c r="J43" i="13"/>
  <c r="H43" i="13"/>
  <c r="G43" i="13"/>
  <c r="F43" i="13"/>
  <c r="D43" i="13"/>
  <c r="C43" i="13"/>
  <c r="C55" i="3"/>
  <c r="B19" i="4" l="1"/>
  <c r="B20" i="4" l="1"/>
  <c r="D55" i="3" l="1"/>
  <c r="MD12" i="13"/>
  <c r="P42" i="13"/>
  <c r="H42" i="13"/>
  <c r="I42" i="13"/>
  <c r="J42" i="13"/>
  <c r="G42" i="13"/>
  <c r="F42" i="13"/>
  <c r="D42" i="13"/>
  <c r="C42" i="13"/>
  <c r="AB19" i="4"/>
  <c r="AB10" i="4"/>
  <c r="Z19" i="4"/>
  <c r="H19" i="4"/>
  <c r="E93" i="6" s="1"/>
  <c r="F93" i="6" s="1"/>
  <c r="F55" i="3" l="1"/>
  <c r="E55" i="3"/>
  <c r="AB20" i="4"/>
  <c r="AA9" i="4"/>
  <c r="X19" i="4"/>
  <c r="E61" i="6" s="1"/>
  <c r="E3" i="2" l="1"/>
  <c r="B18" i="3" l="1"/>
  <c r="C18" i="8" l="1"/>
  <c r="C20" i="8" s="1"/>
  <c r="E29" i="8"/>
  <c r="E30" i="8"/>
  <c r="E31" i="8"/>
  <c r="E32" i="8"/>
  <c r="E33" i="8"/>
  <c r="E34" i="8"/>
  <c r="E35" i="8"/>
  <c r="E36" i="8"/>
  <c r="E74" i="8"/>
  <c r="D114" i="8"/>
  <c r="D84" i="8"/>
  <c r="C22" i="8"/>
  <c r="F19" i="8"/>
  <c r="A15" i="8"/>
  <c r="D37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5" i="8"/>
  <c r="E76" i="8"/>
  <c r="E77" i="8"/>
  <c r="E78" i="8"/>
  <c r="E79" i="8"/>
  <c r="E80" i="8"/>
  <c r="E81" i="8"/>
  <c r="E82" i="8"/>
  <c r="E83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C84" i="8"/>
  <c r="C114" i="8"/>
  <c r="C54" i="8"/>
  <c r="C41" i="8"/>
  <c r="C37" i="8"/>
  <c r="C19" i="4"/>
  <c r="D19" i="4"/>
  <c r="D20" i="4" s="1"/>
  <c r="K37" i="2"/>
  <c r="K47" i="2" s="1"/>
  <c r="J37" i="2"/>
  <c r="J46" i="2"/>
  <c r="D53" i="3"/>
  <c r="Q19" i="4"/>
  <c r="N20" i="4"/>
  <c r="D133" i="6"/>
  <c r="F133" i="6" s="1"/>
  <c r="F130" i="6"/>
  <c r="F47" i="6"/>
  <c r="B49" i="3"/>
  <c r="G75" i="17"/>
  <c r="I75" i="17" s="1"/>
  <c r="AA8" i="4"/>
  <c r="U19" i="4"/>
  <c r="E62" i="6" s="1"/>
  <c r="E70" i="6" s="1"/>
  <c r="N40" i="13"/>
  <c r="N53" i="13" s="1"/>
  <c r="E74" i="17" l="1"/>
  <c r="E76" i="17" s="1"/>
  <c r="D56" i="3"/>
  <c r="M37" i="2"/>
  <c r="E36" i="6"/>
  <c r="Q20" i="4"/>
  <c r="C20" i="4"/>
  <c r="E9" i="6"/>
  <c r="E16" i="6" s="1"/>
  <c r="E20" i="4"/>
  <c r="J50" i="2"/>
  <c r="D115" i="8"/>
  <c r="D21" i="8" s="1"/>
  <c r="D18" i="8"/>
  <c r="D20" i="8" s="1"/>
  <c r="F20" i="8" s="1"/>
  <c r="E19" i="8"/>
  <c r="E114" i="8"/>
  <c r="E84" i="8"/>
  <c r="E37" i="8"/>
  <c r="C115" i="8"/>
  <c r="AA20" i="4"/>
  <c r="C53" i="3"/>
  <c r="E53" i="3" s="1"/>
  <c r="U20" i="4"/>
  <c r="E97" i="6"/>
  <c r="F97" i="6" s="1"/>
  <c r="E108" i="6"/>
  <c r="K53" i="13"/>
  <c r="F41" i="13"/>
  <c r="C41" i="13"/>
  <c r="H41" i="13"/>
  <c r="G41" i="13"/>
  <c r="D41" i="13"/>
  <c r="KB31" i="13"/>
  <c r="KC31" i="13"/>
  <c r="KD31" i="13"/>
  <c r="KE31" i="13"/>
  <c r="KF31" i="13"/>
  <c r="KG31" i="13"/>
  <c r="KH31" i="13"/>
  <c r="KI31" i="13"/>
  <c r="KJ31" i="13"/>
  <c r="KK31" i="13"/>
  <c r="KL31" i="13"/>
  <c r="KM31" i="13"/>
  <c r="KO31" i="13"/>
  <c r="KP31" i="13"/>
  <c r="KQ31" i="13"/>
  <c r="KR31" i="13"/>
  <c r="MD8" i="13"/>
  <c r="MD9" i="13"/>
  <c r="MD10" i="13"/>
  <c r="MD11" i="13"/>
  <c r="MD13" i="13"/>
  <c r="MD14" i="13"/>
  <c r="MD15" i="13"/>
  <c r="MD16" i="13"/>
  <c r="MD17" i="13"/>
  <c r="MD18" i="13"/>
  <c r="MD19" i="13"/>
  <c r="MD23" i="13"/>
  <c r="MD24" i="13"/>
  <c r="MD25" i="13"/>
  <c r="MD26" i="13"/>
  <c r="MD28" i="13"/>
  <c r="MD29" i="13"/>
  <c r="MD30" i="13"/>
  <c r="J24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8" i="10"/>
  <c r="IQ31" i="13"/>
  <c r="IR31" i="13"/>
  <c r="IS31" i="13"/>
  <c r="IT31" i="13"/>
  <c r="IU31" i="13"/>
  <c r="IV31" i="13"/>
  <c r="IW31" i="13"/>
  <c r="IX31" i="13"/>
  <c r="IY31" i="13"/>
  <c r="IZ31" i="13"/>
  <c r="JA31" i="13"/>
  <c r="JB31" i="13"/>
  <c r="JC31" i="13"/>
  <c r="JD31" i="13"/>
  <c r="JE31" i="13"/>
  <c r="JF31" i="13"/>
  <c r="IP31" i="13"/>
  <c r="JJ31" i="13"/>
  <c r="JK31" i="13"/>
  <c r="JL31" i="13"/>
  <c r="JM31" i="13"/>
  <c r="JN31" i="13"/>
  <c r="JO31" i="13"/>
  <c r="JP31" i="13"/>
  <c r="JQ31" i="13"/>
  <c r="JR31" i="13"/>
  <c r="JS31" i="13"/>
  <c r="JT31" i="13"/>
  <c r="JU31" i="13"/>
  <c r="JV31" i="13"/>
  <c r="JW31" i="13"/>
  <c r="JX31" i="13"/>
  <c r="JY31" i="13"/>
  <c r="JI31" i="13"/>
  <c r="GL31" i="13"/>
  <c r="GM31" i="13"/>
  <c r="GN31" i="13"/>
  <c r="GO31" i="13"/>
  <c r="GP31" i="13"/>
  <c r="GQ31" i="13"/>
  <c r="GR31" i="13"/>
  <c r="GS31" i="13"/>
  <c r="GT31" i="13"/>
  <c r="GU31" i="13"/>
  <c r="GV31" i="13"/>
  <c r="GW31" i="13"/>
  <c r="GX31" i="13"/>
  <c r="GY31" i="13"/>
  <c r="GZ31" i="13"/>
  <c r="HA31" i="13"/>
  <c r="GK31" i="13"/>
  <c r="EG31" i="13"/>
  <c r="EH31" i="13"/>
  <c r="EI31" i="13"/>
  <c r="EJ31" i="13"/>
  <c r="EK31" i="13"/>
  <c r="EL31" i="13"/>
  <c r="EM31" i="13"/>
  <c r="EN31" i="13"/>
  <c r="EO31" i="13"/>
  <c r="EP31" i="13"/>
  <c r="EQ31" i="13"/>
  <c r="ER31" i="13"/>
  <c r="ES31" i="13"/>
  <c r="ET31" i="13"/>
  <c r="EU31" i="13"/>
  <c r="EV31" i="13"/>
  <c r="EF31" i="13"/>
  <c r="BI31" i="13"/>
  <c r="BJ31" i="13"/>
  <c r="BK31" i="13"/>
  <c r="BL31" i="13"/>
  <c r="BM31" i="13"/>
  <c r="BN31" i="13"/>
  <c r="BO31" i="13"/>
  <c r="BP31" i="13"/>
  <c r="BQ31" i="13"/>
  <c r="BR31" i="13"/>
  <c r="BS31" i="13"/>
  <c r="BT31" i="13"/>
  <c r="BU31" i="13"/>
  <c r="BV31" i="13"/>
  <c r="BW31" i="13"/>
  <c r="BX31" i="13"/>
  <c r="BH31" i="13"/>
  <c r="AP31" i="13"/>
  <c r="AQ31" i="13"/>
  <c r="AR31" i="13"/>
  <c r="AS31" i="13"/>
  <c r="AT31" i="13"/>
  <c r="AU31" i="13"/>
  <c r="AV31" i="13"/>
  <c r="AW31" i="13"/>
  <c r="AX31" i="13"/>
  <c r="AY31" i="13"/>
  <c r="AZ31" i="13"/>
  <c r="BA31" i="13"/>
  <c r="BB31" i="13"/>
  <c r="BC31" i="13"/>
  <c r="BD31" i="13"/>
  <c r="BE31" i="13"/>
  <c r="AO31" i="13"/>
  <c r="F36" i="6" l="1"/>
  <c r="F41" i="6" s="1"/>
  <c r="E41" i="6"/>
  <c r="E10" i="3"/>
  <c r="K10" i="3" s="1"/>
  <c r="F108" i="6"/>
  <c r="G74" i="17"/>
  <c r="E4" i="3"/>
  <c r="F9" i="6"/>
  <c r="F16" i="6" s="1"/>
  <c r="T13" i="16"/>
  <c r="U13" i="16" s="1"/>
  <c r="F53" i="3"/>
  <c r="E9" i="3"/>
  <c r="F30" i="6"/>
  <c r="F34" i="6" s="1"/>
  <c r="E8" i="3"/>
  <c r="M41" i="13"/>
  <c r="JS32" i="13"/>
  <c r="I22" i="10" s="1"/>
  <c r="N22" i="10" s="1"/>
  <c r="O22" i="10" s="1"/>
  <c r="F21" i="8"/>
  <c r="D22" i="8"/>
  <c r="E115" i="8"/>
  <c r="F18" i="8"/>
  <c r="E18" i="8"/>
  <c r="E21" i="8"/>
  <c r="E22" i="8" s="1"/>
  <c r="E23" i="8" s="1"/>
  <c r="L53" i="13"/>
  <c r="E53" i="13"/>
  <c r="Q52" i="13"/>
  <c r="Q51" i="13"/>
  <c r="Q50" i="13"/>
  <c r="P49" i="13"/>
  <c r="I49" i="13"/>
  <c r="H49" i="13"/>
  <c r="G49" i="13"/>
  <c r="F49" i="13"/>
  <c r="D49" i="13"/>
  <c r="C49" i="13"/>
  <c r="P48" i="13"/>
  <c r="I48" i="13"/>
  <c r="H48" i="13"/>
  <c r="G48" i="13"/>
  <c r="F48" i="13"/>
  <c r="D48" i="13"/>
  <c r="C48" i="13"/>
  <c r="H47" i="13"/>
  <c r="G47" i="13"/>
  <c r="D47" i="13"/>
  <c r="C47" i="13"/>
  <c r="G46" i="13"/>
  <c r="P44" i="13"/>
  <c r="MB31" i="13"/>
  <c r="MB35" i="13" s="1"/>
  <c r="LR31" i="13"/>
  <c r="LR35" i="13" s="1"/>
  <c r="LP31" i="13"/>
  <c r="LP35" i="13" s="1"/>
  <c r="LN31" i="13"/>
  <c r="LN35" i="13" s="1"/>
  <c r="LL31" i="13"/>
  <c r="LL35" i="13" s="1"/>
  <c r="LJ31" i="13"/>
  <c r="LJ35" i="13" s="1"/>
  <c r="KZ31" i="13"/>
  <c r="KZ35" i="13" s="1"/>
  <c r="KX31" i="13"/>
  <c r="KX35" i="13" s="1"/>
  <c r="KV31" i="13"/>
  <c r="KV35" i="13" s="1"/>
  <c r="KT31" i="13"/>
  <c r="KT35" i="13" s="1"/>
  <c r="KR35" i="13"/>
  <c r="KJ35" i="13"/>
  <c r="KH35" i="13"/>
  <c r="KF35" i="13"/>
  <c r="KD35" i="13"/>
  <c r="JY35" i="13"/>
  <c r="JU35" i="13"/>
  <c r="JQ35" i="13"/>
  <c r="JO35" i="13"/>
  <c r="JM35" i="13"/>
  <c r="JK35" i="13"/>
  <c r="JI35" i="13"/>
  <c r="IX35" i="13"/>
  <c r="IV35" i="13"/>
  <c r="IR35" i="13"/>
  <c r="IM31" i="13"/>
  <c r="IM35" i="13" s="1"/>
  <c r="IK31" i="13"/>
  <c r="II31" i="13"/>
  <c r="IG31" i="13"/>
  <c r="IE31" i="13"/>
  <c r="IE35" i="13" s="1"/>
  <c r="IC31" i="13"/>
  <c r="IC35" i="13" s="1"/>
  <c r="IA31" i="13"/>
  <c r="IA35" i="13" s="1"/>
  <c r="HY31" i="13"/>
  <c r="HY35" i="13" s="1"/>
  <c r="HW31" i="13"/>
  <c r="HW35" i="13" s="1"/>
  <c r="HT31" i="13"/>
  <c r="HT35" i="13" s="1"/>
  <c r="HR31" i="13"/>
  <c r="HP31" i="13"/>
  <c r="HP35" i="13" s="1"/>
  <c r="HN31" i="13"/>
  <c r="HL31" i="13"/>
  <c r="HL35" i="13" s="1"/>
  <c r="HJ31" i="13"/>
  <c r="HJ35" i="13" s="1"/>
  <c r="HH31" i="13"/>
  <c r="HH35" i="13" s="1"/>
  <c r="HF31" i="13"/>
  <c r="HF35" i="13" s="1"/>
  <c r="HD31" i="13"/>
  <c r="HD35" i="13" s="1"/>
  <c r="HA35" i="13"/>
  <c r="GW35" i="13"/>
  <c r="GS35" i="13"/>
  <c r="GQ35" i="13"/>
  <c r="GO35" i="13"/>
  <c r="GK35" i="13"/>
  <c r="GH31" i="13"/>
  <c r="GH35" i="13" s="1"/>
  <c r="GF31" i="13"/>
  <c r="GD31" i="13"/>
  <c r="GB31" i="13"/>
  <c r="FZ31" i="13"/>
  <c r="FZ35" i="13" s="1"/>
  <c r="FX31" i="13"/>
  <c r="FX35" i="13" s="1"/>
  <c r="FV31" i="13"/>
  <c r="FV35" i="13" s="1"/>
  <c r="FT31" i="13"/>
  <c r="FT35" i="13" s="1"/>
  <c r="FR31" i="13"/>
  <c r="FR35" i="13" s="1"/>
  <c r="FO31" i="13"/>
  <c r="FO35" i="13" s="1"/>
  <c r="FM31" i="13"/>
  <c r="FK31" i="13"/>
  <c r="FI31" i="13"/>
  <c r="FG31" i="13"/>
  <c r="FG35" i="13" s="1"/>
  <c r="FE35" i="13"/>
  <c r="FC31" i="13"/>
  <c r="FC35" i="13" s="1"/>
  <c r="FA31" i="13"/>
  <c r="EY31" i="13"/>
  <c r="EY35" i="13" s="1"/>
  <c r="EV35" i="13"/>
  <c r="EN35" i="13"/>
  <c r="EL35" i="13"/>
  <c r="EJ35" i="13"/>
  <c r="EH35" i="13"/>
  <c r="EC31" i="13"/>
  <c r="EC35" i="13" s="1"/>
  <c r="DY31" i="13"/>
  <c r="DW31" i="13"/>
  <c r="DU31" i="13"/>
  <c r="DU35" i="13" s="1"/>
  <c r="DS31" i="13"/>
  <c r="DS35" i="13" s="1"/>
  <c r="DQ31" i="13"/>
  <c r="DQ35" i="13" s="1"/>
  <c r="DO31" i="13"/>
  <c r="DO35" i="13" s="1"/>
  <c r="DM31" i="13"/>
  <c r="DM35" i="13" s="1"/>
  <c r="DJ31" i="13"/>
  <c r="DJ35" i="13" s="1"/>
  <c r="DF31" i="13"/>
  <c r="DF35" i="13" s="1"/>
  <c r="DD31" i="13"/>
  <c r="DB31" i="13"/>
  <c r="DB35" i="13" s="1"/>
  <c r="CZ31" i="13"/>
  <c r="CZ35" i="13" s="1"/>
  <c r="CX31" i="13"/>
  <c r="CX35" i="13" s="1"/>
  <c r="CV31" i="13"/>
  <c r="CV35" i="13" s="1"/>
  <c r="CT31" i="13"/>
  <c r="CQ31" i="13"/>
  <c r="CQ35" i="13" s="1"/>
  <c r="CO31" i="13"/>
  <c r="CM31" i="13"/>
  <c r="CK31" i="13"/>
  <c r="CI31" i="13"/>
  <c r="CI35" i="13" s="1"/>
  <c r="CG31" i="13"/>
  <c r="CG35" i="13" s="1"/>
  <c r="CE31" i="13"/>
  <c r="CE35" i="13" s="1"/>
  <c r="CC31" i="13"/>
  <c r="CA31" i="13"/>
  <c r="CA35" i="13" s="1"/>
  <c r="BX35" i="13"/>
  <c r="BT35" i="13"/>
  <c r="BP35" i="13"/>
  <c r="BN35" i="13"/>
  <c r="BL35" i="13"/>
  <c r="BJ35" i="13"/>
  <c r="BH35" i="13"/>
  <c r="BE35" i="13"/>
  <c r="BA35" i="13"/>
  <c r="AW35" i="13"/>
  <c r="AU35" i="13"/>
  <c r="AS35" i="13"/>
  <c r="AQ35" i="13"/>
  <c r="AL31" i="13"/>
  <c r="AL35" i="13" s="1"/>
  <c r="AH31" i="13"/>
  <c r="AH35" i="13" s="1"/>
  <c r="AF31" i="13"/>
  <c r="AD31" i="13"/>
  <c r="AD35" i="13" s="1"/>
  <c r="AB31" i="13"/>
  <c r="AB35" i="13" s="1"/>
  <c r="Z31" i="13"/>
  <c r="Z35" i="13" s="1"/>
  <c r="X31" i="13"/>
  <c r="X35" i="13" s="1"/>
  <c r="V31" i="13"/>
  <c r="V35" i="13" s="1"/>
  <c r="S31" i="13"/>
  <c r="S35" i="13" s="1"/>
  <c r="Q31" i="13"/>
  <c r="Q35" i="13" s="1"/>
  <c r="O31" i="13"/>
  <c r="O35" i="13" s="1"/>
  <c r="M31" i="13"/>
  <c r="M35" i="13" s="1"/>
  <c r="K31" i="13"/>
  <c r="I31" i="13"/>
  <c r="I35" i="13" s="1"/>
  <c r="G31" i="13"/>
  <c r="G35" i="13" s="1"/>
  <c r="E31" i="13"/>
  <c r="E35" i="13" s="1"/>
  <c r="C31" i="13"/>
  <c r="MD7" i="13"/>
  <c r="K9" i="3" l="1"/>
  <c r="G76" i="17"/>
  <c r="G95" i="17" s="1"/>
  <c r="I74" i="17"/>
  <c r="I76" i="17" s="1"/>
  <c r="I95" i="17" s="1"/>
  <c r="I100" i="17" s="1"/>
  <c r="K8" i="3"/>
  <c r="F8" i="3"/>
  <c r="K4" i="3"/>
  <c r="V13" i="16"/>
  <c r="K22" i="10"/>
  <c r="M45" i="13"/>
  <c r="O45" i="13" s="1"/>
  <c r="Q45" i="13" s="1"/>
  <c r="C35" i="13"/>
  <c r="MD31" i="13"/>
  <c r="M43" i="13"/>
  <c r="O43" i="13" s="1"/>
  <c r="Q43" i="13" s="1"/>
  <c r="F22" i="8"/>
  <c r="D23" i="8"/>
  <c r="F23" i="8" s="1"/>
  <c r="M42" i="13"/>
  <c r="O42" i="13" s="1"/>
  <c r="Q42" i="13" s="1"/>
  <c r="K32" i="13"/>
  <c r="I8" i="10" s="1"/>
  <c r="C53" i="13"/>
  <c r="P53" i="13"/>
  <c r="M46" i="13"/>
  <c r="O46" i="13" s="1"/>
  <c r="M48" i="13"/>
  <c r="O48" i="13" s="1"/>
  <c r="Q48" i="13" s="1"/>
  <c r="IZ32" i="13"/>
  <c r="D53" i="13"/>
  <c r="AY32" i="13"/>
  <c r="KL32" i="13"/>
  <c r="O41" i="13"/>
  <c r="Q41" i="13" s="1"/>
  <c r="M49" i="13"/>
  <c r="O49" i="13" s="1"/>
  <c r="Q49" i="13" s="1"/>
  <c r="DD32" i="13"/>
  <c r="I17" i="10" s="1"/>
  <c r="H53" i="13"/>
  <c r="FI32" i="13"/>
  <c r="I53" i="13"/>
  <c r="CT35" i="13"/>
  <c r="J53" i="13"/>
  <c r="F53" i="13"/>
  <c r="CK32" i="13"/>
  <c r="EP32" i="13"/>
  <c r="M44" i="13"/>
  <c r="O44" i="13" s="1"/>
  <c r="Q44" i="13" s="1"/>
  <c r="S44" i="13" s="1"/>
  <c r="KB35" i="13"/>
  <c r="M47" i="13"/>
  <c r="O47" i="13" s="1"/>
  <c r="Q47" i="13" s="1"/>
  <c r="BR32" i="13"/>
  <c r="GU32" i="13"/>
  <c r="GB32" i="13"/>
  <c r="FA35" i="13"/>
  <c r="IP35" i="13"/>
  <c r="G53" i="13"/>
  <c r="HN32" i="13"/>
  <c r="AO35" i="13"/>
  <c r="GM35" i="13"/>
  <c r="IG32" i="13"/>
  <c r="AF32" i="13"/>
  <c r="EF35" i="13"/>
  <c r="JS35" i="13"/>
  <c r="CC35" i="13"/>
  <c r="DW32" i="13"/>
  <c r="Q46" i="13" l="1"/>
  <c r="S46" i="13"/>
  <c r="N8" i="10"/>
  <c r="O8" i="10" s="1"/>
  <c r="K8" i="10"/>
  <c r="GB35" i="13"/>
  <c r="I12" i="10"/>
  <c r="K12" i="10" s="1"/>
  <c r="BR35" i="13"/>
  <c r="I14" i="10"/>
  <c r="DD35" i="13"/>
  <c r="AF35" i="13"/>
  <c r="I10" i="10"/>
  <c r="DW35" i="13"/>
  <c r="I19" i="10"/>
  <c r="IG35" i="13"/>
  <c r="I15" i="10"/>
  <c r="MD32" i="13"/>
  <c r="MD35" i="13" s="1"/>
  <c r="CK35" i="13"/>
  <c r="I16" i="10"/>
  <c r="GU35" i="13"/>
  <c r="I20" i="10"/>
  <c r="EP35" i="13"/>
  <c r="I9" i="10"/>
  <c r="HN35" i="13"/>
  <c r="I11" i="10"/>
  <c r="FI35" i="13"/>
  <c r="I21" i="10"/>
  <c r="M21" i="10" s="1"/>
  <c r="AY35" i="13"/>
  <c r="I13" i="10"/>
  <c r="KL35" i="13"/>
  <c r="I23" i="10"/>
  <c r="M23" i="10" s="1"/>
  <c r="IZ35" i="13"/>
  <c r="I18" i="10"/>
  <c r="M53" i="13"/>
  <c r="O53" i="13" s="1"/>
  <c r="Q53" i="13" s="1"/>
  <c r="K35" i="13"/>
  <c r="M8" i="10" l="1"/>
  <c r="E19" i="6" s="1"/>
  <c r="E45" i="6"/>
  <c r="N10" i="10"/>
  <c r="O10" i="10" s="1"/>
  <c r="K10" i="10"/>
  <c r="N16" i="10"/>
  <c r="O16" i="10" s="1"/>
  <c r="N13" i="10"/>
  <c r="O13" i="10" s="1"/>
  <c r="K13" i="10"/>
  <c r="N12" i="10"/>
  <c r="O12" i="10" s="1"/>
  <c r="N20" i="10"/>
  <c r="O20" i="10" s="1"/>
  <c r="K20" i="10"/>
  <c r="K23" i="10"/>
  <c r="N23" i="10"/>
  <c r="O23" i="10" s="1"/>
  <c r="N15" i="10"/>
  <c r="O15" i="10" s="1"/>
  <c r="K15" i="10"/>
  <c r="N9" i="10"/>
  <c r="O9" i="10" s="1"/>
  <c r="K9" i="10"/>
  <c r="N18" i="10"/>
  <c r="O18" i="10" s="1"/>
  <c r="K18" i="10"/>
  <c r="N17" i="10"/>
  <c r="O17" i="10" s="1"/>
  <c r="K17" i="10"/>
  <c r="N14" i="10"/>
  <c r="O14" i="10" s="1"/>
  <c r="K14" i="10"/>
  <c r="N21" i="10"/>
  <c r="O21" i="10" s="1"/>
  <c r="K21" i="10"/>
  <c r="N11" i="10"/>
  <c r="O11" i="10" s="1"/>
  <c r="K11" i="10"/>
  <c r="N19" i="10"/>
  <c r="O19" i="10" s="1"/>
  <c r="K19" i="10"/>
  <c r="H124" i="11"/>
  <c r="H123" i="11"/>
  <c r="H122" i="11"/>
  <c r="N46" i="11"/>
  <c r="E28" i="6" l="1"/>
  <c r="E7" i="3" s="1"/>
  <c r="K24" i="10"/>
  <c r="N24" i="10"/>
  <c r="O24" i="10" s="1"/>
  <c r="ME31" i="13"/>
  <c r="MF31" i="13" s="1"/>
  <c r="I25" i="10"/>
  <c r="N253" i="12"/>
  <c r="N251" i="12"/>
  <c r="G5" i="8"/>
  <c r="G6" i="8"/>
  <c r="F6" i="8"/>
  <c r="F5" i="8"/>
  <c r="H120" i="11"/>
  <c r="E4" i="8" s="1"/>
  <c r="F4" i="8" s="1"/>
  <c r="K120" i="11"/>
  <c r="Q251" i="12" l="1"/>
  <c r="R198" i="12"/>
  <c r="R199" i="12"/>
  <c r="R200" i="12"/>
  <c r="R201" i="12"/>
  <c r="R202" i="12"/>
  <c r="R203" i="12"/>
  <c r="R204" i="12"/>
  <c r="R205" i="12"/>
  <c r="R206" i="12"/>
  <c r="R207" i="12"/>
  <c r="R208" i="12"/>
  <c r="R209" i="12"/>
  <c r="R210" i="12"/>
  <c r="R211" i="12"/>
  <c r="R212" i="12"/>
  <c r="R213" i="12"/>
  <c r="R214" i="12"/>
  <c r="R215" i="12"/>
  <c r="R216" i="12"/>
  <c r="R217" i="12"/>
  <c r="R218" i="12"/>
  <c r="R219" i="12"/>
  <c r="R220" i="12"/>
  <c r="R178" i="12"/>
  <c r="R179" i="12"/>
  <c r="R180" i="12"/>
  <c r="R181" i="12"/>
  <c r="R182" i="12"/>
  <c r="R183" i="12"/>
  <c r="R184" i="12"/>
  <c r="R185" i="12"/>
  <c r="R186" i="12"/>
  <c r="R187" i="12"/>
  <c r="R188" i="12"/>
  <c r="R189" i="12"/>
  <c r="R190" i="12"/>
  <c r="R191" i="12"/>
  <c r="R192" i="12"/>
  <c r="R193" i="12"/>
  <c r="R194" i="12"/>
  <c r="R195" i="12"/>
  <c r="R196" i="12"/>
  <c r="R197" i="12"/>
  <c r="R168" i="12"/>
  <c r="R169" i="12"/>
  <c r="R170" i="12"/>
  <c r="R171" i="12"/>
  <c r="R172" i="12"/>
  <c r="R173" i="12"/>
  <c r="R174" i="12"/>
  <c r="R175" i="12"/>
  <c r="R177" i="12"/>
  <c r="K16" i="11"/>
  <c r="L6" i="11" l="1"/>
  <c r="L7" i="11"/>
  <c r="L8" i="11"/>
  <c r="L9" i="11"/>
  <c r="L10" i="11"/>
  <c r="L11" i="11"/>
  <c r="L5" i="11"/>
  <c r="L107" i="11"/>
  <c r="L108" i="11"/>
  <c r="L109" i="11"/>
  <c r="L110" i="11"/>
  <c r="L106" i="11"/>
  <c r="L105" i="11"/>
  <c r="L104" i="11"/>
  <c r="L103" i="11"/>
  <c r="L102" i="11"/>
  <c r="L101" i="11"/>
  <c r="L100" i="11"/>
  <c r="L97" i="11"/>
  <c r="L98" i="11"/>
  <c r="L99" i="11"/>
  <c r="L96" i="11"/>
  <c r="L94" i="11"/>
  <c r="L95" i="11"/>
  <c r="L85" i="11"/>
  <c r="L86" i="11"/>
  <c r="L87" i="11"/>
  <c r="L88" i="11"/>
  <c r="L89" i="11"/>
  <c r="L90" i="11"/>
  <c r="L91" i="11"/>
  <c r="L92" i="11"/>
  <c r="L93" i="11"/>
  <c r="L79" i="11"/>
  <c r="L80" i="11"/>
  <c r="L82" i="11"/>
  <c r="L83" i="11"/>
  <c r="L84" i="11"/>
  <c r="L76" i="11"/>
  <c r="L77" i="11"/>
  <c r="L78" i="11"/>
  <c r="L75" i="11"/>
  <c r="L72" i="11"/>
  <c r="L73" i="11"/>
  <c r="L7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45" i="11"/>
  <c r="L46" i="11"/>
  <c r="L47" i="11"/>
  <c r="L48" i="11"/>
  <c r="L49" i="11"/>
  <c r="L50" i="11"/>
  <c r="L51" i="11"/>
  <c r="L52" i="11"/>
  <c r="L53" i="11"/>
  <c r="L54" i="11"/>
  <c r="L42" i="11"/>
  <c r="L43" i="11"/>
  <c r="L44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22" i="11"/>
  <c r="R158" i="12"/>
  <c r="R159" i="12"/>
  <c r="R160" i="12"/>
  <c r="R161" i="12"/>
  <c r="R162" i="12"/>
  <c r="R163" i="12"/>
  <c r="R164" i="12"/>
  <c r="R165" i="12"/>
  <c r="R166" i="12"/>
  <c r="R167" i="12"/>
  <c r="R154" i="12"/>
  <c r="R155" i="12"/>
  <c r="R156" i="12"/>
  <c r="R157" i="12"/>
  <c r="R138" i="12"/>
  <c r="R139" i="12"/>
  <c r="R140" i="12"/>
  <c r="R141" i="12"/>
  <c r="R142" i="12"/>
  <c r="R143" i="12"/>
  <c r="R144" i="12"/>
  <c r="R145" i="12"/>
  <c r="R146" i="12"/>
  <c r="R147" i="12"/>
  <c r="R148" i="12"/>
  <c r="R149" i="12"/>
  <c r="R150" i="12"/>
  <c r="R151" i="12"/>
  <c r="R152" i="12"/>
  <c r="R153" i="12"/>
  <c r="R130" i="12"/>
  <c r="R127" i="12"/>
  <c r="R128" i="12"/>
  <c r="R129" i="12"/>
  <c r="R126" i="12"/>
  <c r="R125" i="12"/>
  <c r="R124" i="12"/>
  <c r="R117" i="12"/>
  <c r="R118" i="12"/>
  <c r="R119" i="12"/>
  <c r="R120" i="12"/>
  <c r="R121" i="12"/>
  <c r="R122" i="12"/>
  <c r="R123" i="12"/>
  <c r="R109" i="12"/>
  <c r="R110" i="12"/>
  <c r="R111" i="12"/>
  <c r="R112" i="12"/>
  <c r="R113" i="12"/>
  <c r="R114" i="12"/>
  <c r="R115" i="12"/>
  <c r="R116" i="12"/>
  <c r="R91" i="12"/>
  <c r="R92" i="12"/>
  <c r="R93" i="12"/>
  <c r="R94" i="12"/>
  <c r="R95" i="12"/>
  <c r="R96" i="12"/>
  <c r="R97" i="12"/>
  <c r="R98" i="12"/>
  <c r="R99" i="12"/>
  <c r="R100" i="12"/>
  <c r="R101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102" i="12"/>
  <c r="R103" i="12"/>
  <c r="R104" i="12"/>
  <c r="R105" i="12"/>
  <c r="R106" i="12"/>
  <c r="R107" i="12"/>
  <c r="R108" i="12"/>
  <c r="W109" i="12"/>
  <c r="W110" i="12"/>
  <c r="R131" i="12"/>
  <c r="R132" i="12"/>
  <c r="R133" i="12"/>
  <c r="R134" i="12"/>
  <c r="R135" i="12"/>
  <c r="R136" i="12"/>
  <c r="R137" i="12"/>
  <c r="R42" i="12"/>
  <c r="R43" i="12"/>
  <c r="R44" i="12"/>
  <c r="R45" i="12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5" i="12"/>
  <c r="E129" i="6"/>
  <c r="F129" i="6" s="1"/>
  <c r="E132" i="6" l="1"/>
  <c r="E134" i="6" s="1"/>
  <c r="E21" i="3" s="1"/>
  <c r="O19" i="4"/>
  <c r="G13" i="3"/>
  <c r="D149" i="6"/>
  <c r="G8" i="3"/>
  <c r="E79" i="6" l="1"/>
  <c r="O20" i="4"/>
  <c r="F132" i="6"/>
  <c r="F134" i="6" s="1"/>
  <c r="D115" i="6"/>
  <c r="D12" i="3" s="1"/>
  <c r="D9" i="3"/>
  <c r="F9" i="3" s="1"/>
  <c r="D4" i="3"/>
  <c r="G28" i="3"/>
  <c r="D8" i="8"/>
  <c r="E8" i="8"/>
  <c r="F8" i="8"/>
  <c r="G4" i="8"/>
  <c r="P19" i="4"/>
  <c r="K19" i="4"/>
  <c r="J19" i="4"/>
  <c r="L19" i="4"/>
  <c r="L20" i="4" s="1"/>
  <c r="F24" i="10"/>
  <c r="G24" i="10"/>
  <c r="E24" i="10"/>
  <c r="M12" i="3" l="1"/>
  <c r="F12" i="3"/>
  <c r="G12" i="3"/>
  <c r="M9" i="3"/>
  <c r="M4" i="3"/>
  <c r="F4" i="3"/>
  <c r="E73" i="6"/>
  <c r="F73" i="6" s="1"/>
  <c r="T9" i="16"/>
  <c r="F79" i="6"/>
  <c r="G9" i="3"/>
  <c r="G4" i="3"/>
  <c r="I20" i="4"/>
  <c r="E83" i="6"/>
  <c r="F83" i="6" s="1"/>
  <c r="F58" i="3"/>
  <c r="F59" i="3"/>
  <c r="F60" i="3"/>
  <c r="F28" i="3"/>
  <c r="C56" i="3"/>
  <c r="E56" i="3" s="1"/>
  <c r="E58" i="3"/>
  <c r="E59" i="3"/>
  <c r="G27" i="3"/>
  <c r="G19" i="4"/>
  <c r="AD19" i="4"/>
  <c r="E46" i="6" s="1"/>
  <c r="AE20" i="4"/>
  <c r="AF19" i="4"/>
  <c r="E86" i="6"/>
  <c r="F86" i="6" s="1"/>
  <c r="F20" i="6"/>
  <c r="V9" i="16" l="1"/>
  <c r="U9" i="16"/>
  <c r="T12" i="16"/>
  <c r="AF20" i="4"/>
  <c r="F44" i="6"/>
  <c r="AD20" i="4"/>
  <c r="F57" i="3"/>
  <c r="F56" i="3"/>
  <c r="P20" i="4"/>
  <c r="E77" i="6"/>
  <c r="M20" i="4"/>
  <c r="E81" i="6"/>
  <c r="F81" i="6" s="1"/>
  <c r="H20" i="4"/>
  <c r="G20" i="4"/>
  <c r="F20" i="4"/>
  <c r="E89" i="6"/>
  <c r="F89" i="6" s="1"/>
  <c r="D144" i="6"/>
  <c r="D134" i="6"/>
  <c r="D21" i="3" s="1"/>
  <c r="G21" i="3" s="1"/>
  <c r="F27" i="3"/>
  <c r="F31" i="3" s="1"/>
  <c r="D10" i="3"/>
  <c r="F10" i="3" s="1"/>
  <c r="E131" i="6"/>
  <c r="E20" i="3" s="1"/>
  <c r="E22" i="3" s="1"/>
  <c r="D52" i="3" s="1"/>
  <c r="F131" i="6"/>
  <c r="D131" i="6"/>
  <c r="D20" i="3" s="1"/>
  <c r="F63" i="6"/>
  <c r="F62" i="6"/>
  <c r="F61" i="6"/>
  <c r="D5" i="3"/>
  <c r="E6" i="3"/>
  <c r="D70" i="6"/>
  <c r="D6" i="3" s="1"/>
  <c r="M6" i="3" s="1"/>
  <c r="F45" i="6"/>
  <c r="D7" i="3"/>
  <c r="D11" i="3"/>
  <c r="M11" i="3" s="1"/>
  <c r="F19" i="6"/>
  <c r="F28" i="6" s="1"/>
  <c r="A1" i="6"/>
  <c r="L43" i="2"/>
  <c r="L42" i="2"/>
  <c r="E60" i="3"/>
  <c r="G46" i="3"/>
  <c r="E46" i="3"/>
  <c r="B42" i="3"/>
  <c r="D38" i="3"/>
  <c r="C54" i="3" s="1"/>
  <c r="B34" i="3"/>
  <c r="M7" i="3" l="1"/>
  <c r="F7" i="3"/>
  <c r="M5" i="3"/>
  <c r="E56" i="6"/>
  <c r="E11" i="3" s="1"/>
  <c r="K6" i="3"/>
  <c r="F6" i="3"/>
  <c r="K7" i="3"/>
  <c r="M10" i="3"/>
  <c r="V12" i="16"/>
  <c r="U12" i="16"/>
  <c r="T8" i="16"/>
  <c r="F77" i="6"/>
  <c r="F100" i="6" s="1"/>
  <c r="D22" i="3"/>
  <c r="C52" i="3" s="1"/>
  <c r="F20" i="3"/>
  <c r="D14" i="3"/>
  <c r="F21" i="3"/>
  <c r="T10" i="16"/>
  <c r="T11" i="16"/>
  <c r="E54" i="3"/>
  <c r="F54" i="3"/>
  <c r="F46" i="6"/>
  <c r="F56" i="6" s="1"/>
  <c r="G6" i="3"/>
  <c r="E100" i="6"/>
  <c r="G20" i="3"/>
  <c r="G10" i="3"/>
  <c r="F70" i="6"/>
  <c r="C8" i="8"/>
  <c r="G8" i="8" s="1"/>
  <c r="E5" i="3" l="1"/>
  <c r="K5" i="3" s="1"/>
  <c r="K11" i="3"/>
  <c r="F11" i="3"/>
  <c r="L14" i="3"/>
  <c r="V10" i="16"/>
  <c r="U10" i="16"/>
  <c r="V8" i="16"/>
  <c r="U8" i="16"/>
  <c r="V11" i="16"/>
  <c r="U11" i="16"/>
  <c r="F52" i="3"/>
  <c r="T14" i="16"/>
  <c r="V14" i="16" s="1"/>
  <c r="G7" i="3"/>
  <c r="G11" i="3"/>
  <c r="G22" i="3"/>
  <c r="E14" i="3"/>
  <c r="G14" i="3" s="1"/>
  <c r="F22" i="3"/>
  <c r="G31" i="3"/>
  <c r="G5" i="3"/>
  <c r="C51" i="3"/>
  <c r="C61" i="3" s="1"/>
  <c r="F5" i="3" l="1"/>
  <c r="K14" i="3"/>
  <c r="F14" i="3"/>
  <c r="U14" i="16"/>
  <c r="D51" i="3"/>
  <c r="F51" i="3" s="1"/>
  <c r="E52" i="3"/>
  <c r="C63" i="3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41" i="2"/>
  <c r="L40" i="2"/>
  <c r="L44" i="2"/>
  <c r="L45" i="2"/>
  <c r="L6" i="2"/>
  <c r="E51" i="3" l="1"/>
  <c r="E61" i="3" s="1"/>
  <c r="E63" i="3" s="1"/>
  <c r="D61" i="3"/>
  <c r="D63" i="3" s="1"/>
  <c r="L37" i="2"/>
  <c r="L47" i="2" s="1"/>
  <c r="L46" i="2"/>
  <c r="F61" i="3" l="1"/>
</calcChain>
</file>

<file path=xl/sharedStrings.xml><?xml version="1.0" encoding="utf-8"?>
<sst xmlns="http://schemas.openxmlformats.org/spreadsheetml/2006/main" count="6717" uniqueCount="1569">
  <si>
    <t>ปีงบ ประมาณ</t>
  </si>
  <si>
    <t>รหัสหน่วยรับ  งบประมาณ</t>
  </si>
  <si>
    <t>รหัสงบประมาณ</t>
  </si>
  <si>
    <t>ชื่อรหัสงบประมาณ</t>
  </si>
  <si>
    <t>แหล่งของเงิน</t>
  </si>
  <si>
    <t>รายการผูกพัน</t>
  </si>
  <si>
    <t>รหัสพื้นที่</t>
  </si>
  <si>
    <t>ชื่อรหัสพื้นที่</t>
  </si>
  <si>
    <t>งบประมาณ</t>
  </si>
  <si>
    <t>ยอดที่ใช้งบประมาณ</t>
  </si>
  <si>
    <t>งบประมาณคงเหลือ</t>
  </si>
  <si>
    <t>2566</t>
  </si>
  <si>
    <t>2100200083</t>
  </si>
  <si>
    <t>P1400</t>
  </si>
  <si>
    <t>พระนครศรีอยุธยา</t>
  </si>
  <si>
    <t>21002320016003110056</t>
  </si>
  <si>
    <t>6611310</t>
  </si>
  <si>
    <t>120609</t>
  </si>
  <si>
    <t>21002320016003110057</t>
  </si>
  <si>
    <t>21002320016003210062</t>
  </si>
  <si>
    <t>6611320</t>
  </si>
  <si>
    <t>1208</t>
  </si>
  <si>
    <t>21002320016003210078</t>
  </si>
  <si>
    <t>21002320020003110277</t>
  </si>
  <si>
    <t>21002320020003110278</t>
  </si>
  <si>
    <t>21002320020003110279</t>
  </si>
  <si>
    <t>21002320020003110280</t>
  </si>
  <si>
    <t>21002320020003110281</t>
  </si>
  <si>
    <t>21002320020003110282</t>
  </si>
  <si>
    <t>21002320020003110283</t>
  </si>
  <si>
    <t>21002320020003110286</t>
  </si>
  <si>
    <t>21002320020003110287</t>
  </si>
  <si>
    <t>21002320020003110288</t>
  </si>
  <si>
    <t>21002320020003110289</t>
  </si>
  <si>
    <t>21002320020003110290</t>
  </si>
  <si>
    <t>21002320020003110291</t>
  </si>
  <si>
    <t>21002320020003110292</t>
  </si>
  <si>
    <t>21002320020003110293</t>
  </si>
  <si>
    <t>21002320020003110294</t>
  </si>
  <si>
    <t>21002320020003110295</t>
  </si>
  <si>
    <t>21002320020003110296</t>
  </si>
  <si>
    <t>120612</t>
  </si>
  <si>
    <t>21002320020003120316</t>
  </si>
  <si>
    <t>21002320020003120317</t>
  </si>
  <si>
    <t>21002320020003120318</t>
  </si>
  <si>
    <t>21002320020003120319</t>
  </si>
  <si>
    <t>21002320020003120320</t>
  </si>
  <si>
    <t>21002320020003120321</t>
  </si>
  <si>
    <t>21002320020003120322</t>
  </si>
  <si>
    <t>21002320020003120323</t>
  </si>
  <si>
    <t>21002320020003120324</t>
  </si>
  <si>
    <t>21002320020003210035</t>
  </si>
  <si>
    <t>21002350001003110104</t>
  </si>
  <si>
    <t>21002350001003110105</t>
  </si>
  <si>
    <t>21002350001003210037</t>
  </si>
  <si>
    <t>21002350001003210038</t>
  </si>
  <si>
    <t>21002350001003210040</t>
  </si>
  <si>
    <t xml:space="preserve"> * ผลรวมตามรหัสหน่วยรับงบประมาณ 5 ตัวแรก 21002</t>
  </si>
  <si>
    <t>รายงานสรุปการใช้จ่ายงบประมาณกับGF (สำนักปลัดกระทรวงสาธารณสุข)</t>
  </si>
  <si>
    <t>งบดำเนินงาน</t>
  </si>
  <si>
    <t>ยอดงบประมาณ</t>
  </si>
  <si>
    <t>ยอดเบิก NGF</t>
  </si>
  <si>
    <t>รวมเบิก</t>
  </si>
  <si>
    <t>คงเหลือ</t>
  </si>
  <si>
    <t>คงเหลือ NGF</t>
  </si>
  <si>
    <t>% การเบิกGF</t>
  </si>
  <si>
    <t>รวม</t>
  </si>
  <si>
    <t>งบดำเนินงาน(เบิกแทนกัน)</t>
  </si>
  <si>
    <t>ยอดGF</t>
  </si>
  <si>
    <t>งบเงินอุดหนุน/งบรายจ่ายอื่น</t>
  </si>
  <si>
    <t>งบเงินรายจ่ายอื่น</t>
  </si>
  <si>
    <t>% การเบิก</t>
  </si>
  <si>
    <t>รายงานสถานะการใช้จ่ายงบประมาณ</t>
  </si>
  <si>
    <t>งบเบิกแทนกัน</t>
  </si>
  <si>
    <t>งบลงทุน (ครุภัณฑ์)</t>
  </si>
  <si>
    <t>งบลงทุน (ก่อสร้าง)</t>
  </si>
  <si>
    <t>งบเงินอุดหนุน</t>
  </si>
  <si>
    <t>รวมเงินงบประมาณในระบบ GFMIS</t>
  </si>
  <si>
    <t>.</t>
  </si>
  <si>
    <t xml:space="preserve">ยอดเบิก </t>
  </si>
  <si>
    <t>รายงานสรุปการใช้จ่ายงบประมาณกับGF (สำนักปลัดกระทรวงสาธารณสุข) ปีงบประมาณ 2566</t>
  </si>
  <si>
    <t>แผนงาน</t>
  </si>
  <si>
    <t>กิจกรรม</t>
  </si>
  <si>
    <t>ผู้เบิก</t>
  </si>
  <si>
    <t>ฝ่าย/คชจ.</t>
  </si>
  <si>
    <t>จัดสรร</t>
  </si>
  <si>
    <t>ตั้ง PO</t>
  </si>
  <si>
    <t>เครื่องกระตุกไฟฟ้าหัวใจชนิดไบเฟสิคพร้อมภาควัดออกซิเจนและคาร์บอนไดออกไซด์ในเลือด โรงพยาบาลท่าเรือ ตำบลท่าเรือ อำเภอท่าเรือ จังหวัดพระนครศรีอยุธยา 2 เครื่อง</t>
  </si>
  <si>
    <t>เครื่องติดตามสัญญาณชีพพร้อมเครื่องกระตุกหัวใจในรถพยาบาลเพื่อเชื่อมต่อระบบศูนย์กลางการรักษาทางไกล โรงพยาบาลท่าเรือ ตำบลท่าเรือ อำเภอท่าเรือ จังหวัดพระนครศรีอยุธยา 2 เครื่อง</t>
  </si>
  <si>
    <t>เครื่องตรวจอวัยวะภายในด้วยคลื่นเสียงความถี่สูง ชนิดสี 2 หัวตรวจ โรงพยาบาลบางบาล ตำบลสะพานไทย อำเภอบางบาล จังหวัดพระนครศรีอยุธยา 1 เครื่อง</t>
  </si>
  <si>
    <t>ตู้แช่แข็งเก็บพลาสมาอุณหภูมิ -40 องศาเซลเซียส ไม่น้อยกว่า 150 ถุง โรงพยาบาลอุทัย ตำบลอุทัย อำเภออุทัย จังหวัดพระนครศรีอยุธยา 1 ตู้</t>
  </si>
  <si>
    <t>ตู้เย็นเก็บเลือดขนาดไม่น้อยกว่า 20 คิว โรงพยาบาลอุทัย ตำบลอุทัย อำเภออุทัย จังหวัดพระนครศรีอยุธยา 1 ตู้</t>
  </si>
  <si>
    <t>เครื่องตรวจอวัยวะภายในด้วยคลื่นเสียงความถี่สูง ชนิดสี 2 หัวตรวจ โรงพยาบาลท่าเรือ ตำบลท่าเรือ อำเภอท่าเรือ จังหวัดพระนครศรีอยุธยา 2 เครื่อง</t>
  </si>
  <si>
    <t>เครื่องกระตุกไฟฟ้าหัวใจชนิดไบเฟสิคพร้อมภาควัดออกซิเจนและคาร์บอนไดออกไซด์ในเลือด โรงพยาบาลวังน้อย ตำบลลำไทร อำเภอวังน้อย จังหวัดพระนครศรีอยุธยา 1 เครื่อง</t>
  </si>
  <si>
    <t>เครื่องตรวจสมรรถภาพทารกในครรภ์สำหรับตรวจเด็กแฝด โรงพยาบาลท่าเรือ ตำบลท่าเรือ อำเภอท่าเรือ จังหวัดพระนครศรีอยุธยา 1 เครื่อง</t>
  </si>
  <si>
    <t>เครื่องติดตามการทำงานของหัวใจและสัญญาณชีพอัตโนมัติ ขนาดกลาง โรงพยาบาลท่าเรือ ตำบลท่าเรือ อำเภอท่าเรือ จังหวัดพระนครศรีอยุธยา 10 เครื่อง</t>
  </si>
  <si>
    <t>เครื่องจี้ห้ามเลือดและตัดเนื้อเยื่อด้วยไฟฟ้าขนาดไม่น้อยกว่า 120 วัตต์ โรงพยาบาลท่าเรือ ตำบลท่าเรือ อำเภอท่าเรือ จังหวัดพระนครศรีอยุธยา 1 เครื่อง</t>
  </si>
  <si>
    <t>ยูนิตทำฟัน (Dental Master Unit) รุ่น Platinum II โรงพยาบาลท่าเรือ ตำบลท่าเรือ อำเภอท่าเรือ จังหวัดพระนครศรีอยุธยา 2 ยูนิต</t>
  </si>
  <si>
    <t>เครื่องแปลงสัญญาณภาพ เอกซเรย์ เป็นดิจิตอล ในช่องปาก โรงพยาบาลท่าเรือ ตำบลท่าเรือ อำเภอท่าเรือ จังหวัดพระนครศรีอยุธยา 1 เครื่อง</t>
  </si>
  <si>
    <t>เครื่องปั่นตกตะกอนสำหรับธนาคารเลือด โรงพยาบาลท่าเรือ ตำบลท่าเรือ อำเภอท่าเรือ จังหวัดพระนครศรีอยุธยา 1 เครื่อง</t>
  </si>
  <si>
    <t>เครื่องหมุนส่าย (Rotator) โรงพยาบาลท่าเรือ ตำบลท่าเรือ อำเภอท่าเรือ จังหวัดพระนครศรีอยุธยา 1 เครื่อง</t>
  </si>
  <si>
    <t>ตู้เย็นเก็บเลือดขนาดไม่น้อยกว่า 20 คิว โรงพยาบาลท่าเรือ ตำบลท่าเรือ อำเภอท่าเรือ จังหวัดพระนครศรีอยุธยา 2 ตู้</t>
  </si>
  <si>
    <t>ตู้ปลอดเชื้อ class II ไม่น้อยกว่า 4 ฟุต โรงพยาบาลท่าเรือ ตำบลท่าเรือ อำเภอท่าเรือ จังหวัดพระนครศรีอยุธยา 1 ตู้</t>
  </si>
  <si>
    <t>เครื่องวัดระดับบิลิรูบินในทารก โรงพยาบาลท่าเรือ ตำบลท่าเรือ อำเภอท่าเรือ จังหวัดพระนครศรีอยุธยา 1 เครื่อง</t>
  </si>
  <si>
    <t>เครื่องซักผ้า แบบอุตสาหกรรม ขนาด 125 ปอนด์ โรงพยาบาลท่าเรือ ตำบลท่าเรือ อำเภอท่าเรือ จังหวัดพระนครศรีอยุธยา 1 เครื่อง</t>
  </si>
  <si>
    <t>เครื่องเอกซเรย์ฟันทั้งปากพร้อมกะโหลกศีรษะ แบบ 2 มิติ โรงพยาบาลบางปะหัน ตำบลบางนางร้า อำเภอบางปะหัน จังหวัดพระนครศรีอยุธยา</t>
  </si>
  <si>
    <t>เครื่องดมยาสลบ ชนิดมาตรฐาน โรงพยาบาลบางปะอิน ตำบลบ้านเลน อำเภอบางปะอิน จังหวัดพระนครศรีอยุธยา</t>
  </si>
  <si>
    <t>กล้องส่องตรวจระบบทางเดินหายใจ ชนิด fiberoptic โรงพยาบาลวังน้อย ตำบลลำไทร อำเภอวังน้อย จังหวัดพระนครศรีอยุธยา</t>
  </si>
  <si>
    <t>เครื่องล้างเครื่องมืออัตโนมัติขนาดไม่น้อยกว่า 250 ลิตร โรงพยาบาลบางซ้าย ตำบลบางซ้าย อำเภอบางซ้าย จังหวัดพระนครศรีอยุธยา</t>
  </si>
  <si>
    <t>เครื่องช่วยกระบวนการปั๊มและฟื้นคืนชีพผู้ป่วย โรงพยาบาลท่าเรือ ตำบลท่าเรือ อำเภอท่าเรือ จังหวัดพระนครศรีอยุธยา</t>
  </si>
  <si>
    <t>เครื่องติดตามการทำงานของหัวใจและสัญญาณชีพ 6 พารามิเตอร์ ระบบรวมศูนย์ไม่น้อยกว่า 8 เตียง โรงพยาบาลท่าเรือ ตำบลท่าเรือ อำเภอท่าเรือ จังหวัดพระนครศรีอยุธยา</t>
  </si>
  <si>
    <t>เครื่องเอกซเรย์ทั่วไปขนาดไม่น้อยกว่า 500 mA. แบบแขวนเพดาน โรงพยาบาลท่าเรือ ตำบลท่าเรือ อำเภอท่าเรือ จังหวัดพระนครศรีอยุธยา</t>
  </si>
  <si>
    <t>เครื่องเอกซเรย์เคลื่อนที่ขนาดไม่น้อยกว่า 300 mA.ขับเคลื่อนด้วยมอเตอร์ไฟฟ้า โรงพยาบาลท่าเรือ ตำบลท่าเรือ อำเภอท่าเรือ จังหวัดพระนครศรีอยุธยา</t>
  </si>
  <si>
    <t>เครื่องล้างเครื่องมืออัตโนมัติขนาดไม่น้อยกว่า 250 ลิตร โรงพยาบาลท่าเรือ ตำบลท่าเรือ อำเภอท่าเรือ จังหวัดพระนครศรีอยุธยา</t>
  </si>
  <si>
    <t>เครื่องแปลงสัญญาณภาพ เอกซเรย์ เป็นดิจิตอล ในช่องปาก สำนักงานสาธารณสุขจังหวัดพระนครศรีอยุธยา ตำบลหอรัตนไชย อำเภอพระนครศรีอยุธยา จังหวัดพระนครศรีอยุธยา</t>
  </si>
  <si>
    <t>เครื่องนึ่งฆ่าเชื้อโรค สำหรับด้ามกรอฟัน สำนักงานสาธารณสุขจังหวัดพระนครศรีอยุธยา ตำบลหอรัตนไชย อำเภอพระนครศรีอยุธยา จังหวัดพระนครศรีอยุธยา</t>
  </si>
  <si>
    <t>บ้านพักข้าราชการ อำนวยการระดับสูง เป็นอาคาร คสล.2 ชั้น พื้นที่ใช้สอยประมาณ 165 ตารางเมตร (โครงสร้างต้านแผ่นดินไหว) สำนักงานสาธารณสุขจังหวัดพระนครศรีอยุธยา ตำบลหอรัตนไชย อำเภอพระนครศรีอยุธยา จังหวัดพระนครศรีอยุธยา</t>
  </si>
  <si>
    <t>ปรับปรุงซ่อมแซมอาคารสำนักงาน สำนักงานสาธารณสุขจังหวัดพระนครศรีอยุธยา ตำบลหอรัตนไชย อำเภอพระนครศรีอยุธยา จังหวัดพระนครศรีอยุธยา</t>
  </si>
  <si>
    <t>1. งบดำเนินงาน</t>
  </si>
  <si>
    <t>รหัส</t>
  </si>
  <si>
    <t>วันที่โอนเงิน</t>
  </si>
  <si>
    <t>งบประมาณโอนมาณ</t>
  </si>
  <si>
    <t xml:space="preserve">คงเหลือ </t>
  </si>
  <si>
    <t>เลขหนังสือ</t>
  </si>
  <si>
    <t>กรมสำนักงานปลัดกระทรวง</t>
  </si>
  <si>
    <t xml:space="preserve">แผนงานยุทธศาสตร์ เสริมสร้างให้คนมีสุขภาวะที่ดี </t>
  </si>
  <si>
    <t>โครงการพัฒนาระบบการแพทย์ปฐมภูมิและเครือข่ายระบบสุขภาพระดับอำเภอ</t>
  </si>
  <si>
    <t>งบลงทุน+ค่าครุภัณฑ์  ปีงบประมาณ 2566</t>
  </si>
  <si>
    <t>ลำดับ</t>
  </si>
  <si>
    <t xml:space="preserve">กิจกรรม : พัฒนาระบบบริการปฐมภูมิให้มีคุณภาพมาตรฐานและพัฒนาคุณภาพชีวิตระดับอำเภอ </t>
  </si>
  <si>
    <t>แผนงานพื้นฐานด้านการพัฒนาและเสริมสร้างศักยภาพทรัพย์กรมนุย์</t>
  </si>
  <si>
    <t xml:space="preserve">กิจกรรม : สนับสนุนการสร้างเสริมสุขภาพ เฝ้าระวัง ป้องกัน ควบคุมโรค และภัยสุขภาพ         </t>
  </si>
  <si>
    <t xml:space="preserve">กิจกรรม : สนับสนุนและดำเนินการคุ้มครองผู้บริโภคด้านสุขภาพ </t>
  </si>
  <si>
    <t>ผลผลิต ประชาชนได้รับการดูแลสุขภาพและมีพฤติกรรมสุขภาพที่ถูกต้อง</t>
  </si>
  <si>
    <t>21002350002002000000</t>
  </si>
  <si>
    <t>21002661262600000</t>
  </si>
  <si>
    <t>21002667569100000</t>
  </si>
  <si>
    <t>1.สธ.0206.03/ว364-26ต.ค.65</t>
  </si>
  <si>
    <t>21002320016002000000</t>
  </si>
  <si>
    <t>21002660000100000</t>
  </si>
  <si>
    <t>ประชาชนได้รับการดูแลสุขภาพและมีพฤติกรรมสุขภาพที่ถูกต้อง</t>
  </si>
  <si>
    <t>21002300004002000000</t>
  </si>
  <si>
    <t>21002140003002000000</t>
  </si>
  <si>
    <t>แผนงาน : แผนงานยุทธศาสตร์พัฒนาศักยภาพคนตลอดช่วงชีวิต</t>
  </si>
  <si>
    <t xml:space="preserve">โครงการ : โครงการประชาชนทุกกลุ่มวัยได้รับบริการด้านสุขภาพที่เหมาะสม </t>
  </si>
  <si>
    <t xml:space="preserve">กิจกรรม : การพัฒนาและสร้างเสริมศักยภาพคนไทยกลุ่มสตรีและเด็กปฐมวัย            </t>
  </si>
  <si>
    <t xml:space="preserve">กิจกรรม : สร้างเสริมสุขภาพกลุ่มเด็กวัยเรียน (6-14 ปี)        </t>
  </si>
  <si>
    <t xml:space="preserve">กิจกรรม : การพัฒนาและสร้างเสริมศักยภาพคนไทยกลุ่มวัยทำงาน        </t>
  </si>
  <si>
    <t xml:space="preserve">กิจกรรม : การพัฒนาและสร้างเสริมศักยภาพคนไทยกลุ่มวัยสูงอายุ      </t>
  </si>
  <si>
    <t>กิจกรรม : ส่งเสริมพัฒนาระบบบริการสร้างเสริมสุขภาพในกลุ่มวัยรุ่น (15-18 ปี)</t>
  </si>
  <si>
    <t xml:space="preserve">โครงการประชาชนทุกกลุ่มวัยได้รับบริการด้านสุขภาพที่เหมาะสม </t>
  </si>
  <si>
    <t>แผนงานบุคลากรภาครัฐ</t>
  </si>
  <si>
    <t>ผลผลิตรายการค่าใช้จ่ายบุคลากรภาครัฐ พัฒนาด้านสาธารณสุขและสร้างเสริมสุขภาพเชิงรุก</t>
  </si>
  <si>
    <r>
      <t>กิจกรรมค่าใช้จ่ายบุคลากรในการพัฒนาระบบบริหารจัดการทรัพยกรด้านสุขภาพ (พ.ต.ส.) งวดที่ 1</t>
    </r>
    <r>
      <rPr>
        <sz val="16"/>
        <color rgb="FFFF0000"/>
        <rFont val="TH SarabunPSK"/>
        <family val="2"/>
      </rPr>
      <t xml:space="preserve"> ญาสุมินทร์</t>
    </r>
  </si>
  <si>
    <t>21002668207100000</t>
  </si>
  <si>
    <t>21002668207200000</t>
  </si>
  <si>
    <t>21002668207400000</t>
  </si>
  <si>
    <t>21002660004700000</t>
  </si>
  <si>
    <t>21002668207500000</t>
  </si>
  <si>
    <t>2.สธ.0206.03/ว363-26ต.ค.65</t>
  </si>
  <si>
    <t>3.สธ.0206.03/ว367-27ต.ค.65</t>
  </si>
  <si>
    <t>4.สธ.0206.02/ว364-27ต.ค.65</t>
  </si>
  <si>
    <t xml:space="preserve">ยูนิตทำฟัน (Dental Master Unit) รุ่น Platinum II โรงพยาบาลส่งเสริมสุขภาพตำบลไม้ตรา ตำบลไม้ตรา อำเภอบางทร </t>
  </si>
  <si>
    <t>ยูนิตทำฟัน (Dental Master Unit) รุ่น Platinum II โรงพยาบาลส่งเสริมสุขภาพตำบลบ้านหีบ ตำบลบ้านหีบ อำเภออุทัย</t>
  </si>
  <si>
    <t>สธ0206.02/6347-18ต.ค.65</t>
  </si>
  <si>
    <t>สธ0206.02/ว350-18ต.ค.65</t>
  </si>
  <si>
    <t>สธ0206.02/ว355-19ต.ค.65</t>
  </si>
  <si>
    <t>21002E20011002000000</t>
  </si>
  <si>
    <t>90909620012000000000</t>
  </si>
  <si>
    <t>รายการเงินสำรองจ่ายเพื่อกรณีฉุกเฉินจำเป็น</t>
  </si>
  <si>
    <t>งบกลาง เงินสำรองจ่าย</t>
  </si>
  <si>
    <t>21002E20012002000000</t>
  </si>
  <si>
    <t>ค่าตอบแทนเสี่ยงภัยเฉพาะกลุ่มบุคลากรวิชาชีพและกลุ่มเจ้าพนักงานและเจ้าหน้าที่เทคนิดอื่นๆ เดือน พ.ย.64-มิ.ย.66 (เงินกู้)</t>
  </si>
  <si>
    <t>ค่าตอบแทนบุคลากานอกเหนือภารกิจปกติสำหรับเจ้าหน้าที่ที่ปฏิบัติงานให้บริการฉีดวัคฉีดวัคซีนโรคโควิค-19 (เงินกู้)</t>
  </si>
  <si>
    <t>01/11/2565</t>
  </si>
  <si>
    <t>02/11/2565</t>
  </si>
  <si>
    <t>21002350001002000000</t>
  </si>
  <si>
    <r>
      <t>กิจกรรมค่าใช้จ่ายบุคลากรในการพัฒนาระบบบริหารจัดการทรัพยากรด้านสุขภาพ</t>
    </r>
    <r>
      <rPr>
        <sz val="16"/>
        <color rgb="FFFF0000"/>
        <rFont val="TH SarabunPSK"/>
        <family val="2"/>
      </rPr>
      <t xml:space="preserve">
</t>
    </r>
    <r>
      <rPr>
        <sz val="16"/>
        <rFont val="TH SarabunPSK"/>
        <family val="2"/>
      </rPr>
      <t>ค่าเช่าบ้าน งวดที่ 1</t>
    </r>
    <r>
      <rPr>
        <sz val="16"/>
        <color rgb="FFFF0000"/>
        <rFont val="TH SarabunPSK"/>
        <family val="2"/>
      </rPr>
      <t xml:space="preserve"> อาภัสรา</t>
    </r>
  </si>
  <si>
    <t>แผนงานพื้นฐานด้านการพัฒนาและเสริมสร้างศักยภาพทรัพย์กรมนุษณ์</t>
  </si>
  <si>
    <t>ผลผลิตนโยบายยุทธศาสตร์ ระบบบริหารจัดการด้านสุขภาพที่มีคุณภาพและประสิทธิภาพ</t>
  </si>
  <si>
    <t>21002661268100000</t>
  </si>
  <si>
    <t>21002668111000000</t>
  </si>
  <si>
    <r>
      <t xml:space="preserve">กิจกรรมค่าใช้จ่ายบุคลากรในการพัฒนาระบบบริหารจัดการทรัพยากรด้านสุขภาพ
ค่าไม่ทำเวช งวดที่ 1  </t>
    </r>
    <r>
      <rPr>
        <sz val="16"/>
        <color rgb="FFFF0000"/>
        <rFont val="TH SarabunPSK"/>
        <family val="2"/>
      </rPr>
      <t xml:space="preserve">ญาสุมินทร์ 
</t>
    </r>
    <r>
      <rPr>
        <sz val="16"/>
        <rFont val="TH SarabunPSK"/>
        <family val="2"/>
      </rPr>
      <t/>
    </r>
  </si>
  <si>
    <r>
      <t xml:space="preserve">กิจกรรมพัฒนาระบบบริหารจัดการทรัพยากรด้านสุขภาพ
 - ค่าเช่าทรัพย์สินของหน่วยงานภูมิภาค </t>
    </r>
    <r>
      <rPr>
        <sz val="16"/>
        <color rgb="FFFF0000"/>
        <rFont val="TH SarabunPSK"/>
        <family val="2"/>
      </rPr>
      <t>ทิพวรรณ</t>
    </r>
  </si>
  <si>
    <r>
      <t xml:space="preserve">กิจกรรมพัฒนาระบบบริหารจัดการทรัพยากรด้านสุขภาพ
 - ค่าสาธารณูปโภค สสจ.6 เดือน (งวดที่1) </t>
    </r>
    <r>
      <rPr>
        <sz val="16"/>
        <color rgb="FFFF0000"/>
        <rFont val="TH SarabunPSK"/>
        <family val="2"/>
      </rPr>
      <t>ทิพวรรณ</t>
    </r>
  </si>
  <si>
    <r>
      <t xml:space="preserve">กิจกรรมค่าใช้จ่ายบุคลสกรในการพัฒนาระบบบริหารจัดการทรัพยกรด้านสุขภาพ เพื่อเป็นเงินค่าประกันสังคมส่วนของนายจ้าง งวดที่ 1 ค่ากองทุนเงินทดแทน สสจ. </t>
    </r>
    <r>
      <rPr>
        <sz val="16"/>
        <color rgb="FFFF0000"/>
        <rFont val="TH SarabunPSK"/>
        <family val="2"/>
      </rPr>
      <t>สุวรรณรัตน์</t>
    </r>
  </si>
  <si>
    <r>
      <t xml:space="preserve">กิจกรรมค่าใช้จ่ายบุคลสกรในการพัฒนาระบบบริหารจัดการทรัพยกรด้านสุขภาพ เพื่อเป็นเงินค่าประกันสังคมส่วนของนายจ้าง งวดที่ 1ค่ากองทุนเงินทดแทน สสอ.  </t>
    </r>
    <r>
      <rPr>
        <sz val="16"/>
        <color rgb="FFFF0000"/>
        <rFont val="TH SarabunPSK"/>
        <family val="2"/>
      </rPr>
      <t>สุวรรณรัตน์</t>
    </r>
  </si>
  <si>
    <r>
      <t xml:space="preserve">กิจกรรมค่าใช้จ่ายบุคลสกรในการพัฒนาระบบบริหารจัดการทรัพยกรด้านสุขภาพ เพื่อเป็นเงินค่าประกันสังคมส่วนของนายจ้าง งวดที่ 1 เงินสมทบ สสจ. </t>
    </r>
    <r>
      <rPr>
        <sz val="16"/>
        <color rgb="FFFF0000"/>
        <rFont val="TH SarabunPSK"/>
        <family val="2"/>
      </rPr>
      <t>สุวรรณรัตน์</t>
    </r>
  </si>
  <si>
    <r>
      <t xml:space="preserve">กิจกรรมค่าใช้จ่ายบุคลสกรในการพัฒนาระบบบริหารจัดการทรัพยกรด้านสุขภาพ เพื่อเป็นเงินค่าประกันสังคมส่วนของนายจ้าง งวดที่ 1 เงินสมทบ  สสอ.  </t>
    </r>
    <r>
      <rPr>
        <sz val="16"/>
        <color rgb="FFFF0000"/>
        <rFont val="TH SarabunPSK"/>
        <family val="2"/>
      </rPr>
      <t>สุวรรณรัตน์</t>
    </r>
  </si>
  <si>
    <r>
      <t>กิจกรรมค่าใช้จ่ายบุคลากรในการพัฒนาระบบบริหารจัดการทรัพยากรด้านสุขภาพ
เพื่อเป็นค่าตอบแทนสำหรับตำแหน่งที่มีเหตุพิเศษ (ค.ต.ส.) สสจ. งวดที่ 1</t>
    </r>
    <r>
      <rPr>
        <sz val="16"/>
        <color rgb="FFFF0000"/>
        <rFont val="TH SarabunPSK"/>
        <family val="2"/>
      </rPr>
      <t xml:space="preserve"> ญาสุมินทร์</t>
    </r>
  </si>
  <si>
    <r>
      <t xml:space="preserve">กิจกรรมค่าใช้จ่ายบุคลสกรในการพัฒนาระบบบริหารจัดการทรัพยกรด้านสุขภาพ เพื่อเป็นเงินค่าประกันสังคมส่วนของนายจ้าง งวดที่ 1 ค่ากองทุนฯเงินสมทบ รพช. </t>
    </r>
    <r>
      <rPr>
        <sz val="16"/>
        <color rgb="FFFF0000"/>
        <rFont val="TH SarabunPSK"/>
        <family val="2"/>
      </rPr>
      <t>สุวรรณรัตน์</t>
    </r>
  </si>
  <si>
    <r>
      <t xml:space="preserve">กิจกรรมค่าใช้จ่ายบุคลสกรในการพัฒนาระบบบริหารจัดการทรัพยกรด้านสุขภาพ เพื่อเป็นเงินค่าประกันสังคมส่วนของนายจ้าง งวดที่ 1 ค่ากองทุนเงินทดแทน  รพช </t>
    </r>
    <r>
      <rPr>
        <sz val="16"/>
        <color rgb="FFFF0000"/>
        <rFont val="TH SarabunPSK"/>
        <family val="2"/>
      </rPr>
      <t>สุวรรณรัตน์</t>
    </r>
  </si>
  <si>
    <r>
      <t>กิจกรรมค่าใช้จ่ายบุคลากรในการพัฒนาระบบบริหารจัดการทรัพยากรด้านสุขภาพ
เพื่อเป็นค่าตอบแทนสำหรับตำแหน่งที่มีเหตุพิเศษ (ค.ต.ส.) รพช. งวดที่ 1</t>
    </r>
    <r>
      <rPr>
        <sz val="16"/>
        <color rgb="FFFF0000"/>
        <rFont val="TH SarabunPSK"/>
        <family val="2"/>
      </rPr>
      <t xml:space="preserve"> ญาสุมินทร์</t>
    </r>
  </si>
  <si>
    <t>5.สธ.0207.02.2/5232-20ต.ค.65</t>
  </si>
  <si>
    <t>5. สธ.0207.02.2/5232-20ต.ค.65</t>
  </si>
  <si>
    <t>21002320004092000000</t>
  </si>
  <si>
    <t>กรมอนามัย</t>
  </si>
  <si>
    <t>เพื่อใช้ในโครงการควบคุมและป้องกันโรคขาดสารไอโอดีนแห่งชาติ ปี 2566</t>
  </si>
  <si>
    <t>เงินกู้</t>
  </si>
  <si>
    <t>90909620043000000000</t>
  </si>
  <si>
    <t>เงินสมทบกองทุนเงินทดแทน</t>
  </si>
  <si>
    <t>ค่าตอบแทน ใช้สอยและวัสดุ</t>
  </si>
  <si>
    <t>กิจกรรม : พัฒนาระบบบริการปฐมภูมิให้มีคุณภาพมาตรฐานและพัฒนาคุณภาพชีวิตระดับอำเภอ 
 - หน่วยบริการ 42 แห่ง 5,000 = 210,000 บาท  สสอ.16 แห่ง 10,000 160,000</t>
  </si>
  <si>
    <t>สุวรรณรัตน์</t>
  </si>
  <si>
    <t>บร</t>
  </si>
  <si>
    <t>ประกันสังคม สสจ-สสอ</t>
  </si>
  <si>
    <t>ประกันสังคม รพช.</t>
  </si>
  <si>
    <t>ค่ากองทุนเงินทดแทน รพช.</t>
  </si>
  <si>
    <t xml:space="preserve">ค่ากองทุนเงินทดแทน สสจ.-สสอ </t>
  </si>
  <si>
    <t>6 สธ.0206.02/ว377-4พ.ย.65</t>
  </si>
  <si>
    <t>7.สธ.0239.01/2614-3พ.ย.65</t>
  </si>
  <si>
    <t>กลุ่มงานผู้รับผิดชอบ</t>
  </si>
  <si>
    <t>ยุทธ์ฯ</t>
  </si>
  <si>
    <t>พคบ.</t>
  </si>
  <si>
    <t>สส/คร/สลว</t>
  </si>
  <si>
    <t>21002320005092000000</t>
  </si>
  <si>
    <t>กรมสุขภาพจิต</t>
  </si>
  <si>
    <t>21002999999999999</t>
  </si>
  <si>
    <t>โครงการประชาชนได้รับบริการสุขภาพจิตที่สอดคล้องกับนโยบาย</t>
  </si>
  <si>
    <t>สธ.0206.02/ว397-15พ.ย.65</t>
  </si>
  <si>
    <t>สสอ.</t>
  </si>
  <si>
    <t>เสนา</t>
  </si>
  <si>
    <t>ท่าเรือ</t>
  </si>
  <si>
    <t>นครหลวง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</si>
  <si>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</si>
  <si>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</si>
  <si>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</si>
  <si>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</si>
  <si>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</si>
  <si>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</si>
  <si>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</si>
  <si>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</si>
  <si>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</si>
  <si>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</si>
  <si>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</si>
  <si>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</si>
  <si>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 xml:space="preserve"> ญาสุมินทร์</t>
  </si>
  <si>
    <t>อาภัสรา</t>
  </si>
  <si>
    <t>ค่าเช่าบ้าน</t>
  </si>
  <si>
    <t>ต่าตอบแทน พตส.-รพช.</t>
  </si>
  <si>
    <t>ต่าตอบแทน พตส.-สสอ.</t>
  </si>
  <si>
    <t>ต่าตอบแทน คตส.-รพช.</t>
  </si>
  <si>
    <t>ต่าตอบแทน พตส.-สสจ.</t>
  </si>
  <si>
    <t>ต่าตอบแทน คตส.-สสจ</t>
  </si>
  <si>
    <r>
      <t xml:space="preserve">กิจกรรมค่าใช้จ่ายบุคลากรในการพัฒนาระบบบริหารจัดการทรัพยากรด้านสุขภาพ (พตส.) งวดที่ 2 </t>
    </r>
    <r>
      <rPr>
        <sz val="16"/>
        <color rgb="FFFF0000"/>
        <rFont val="TH SarabunPSK"/>
        <family val="2"/>
      </rPr>
      <t xml:space="preserve">ญาสุมินทร์ </t>
    </r>
  </si>
  <si>
    <t>การสำรองเงิน</t>
  </si>
  <si>
    <t>21002060007002000000</t>
  </si>
  <si>
    <t>21002320018002000000</t>
  </si>
  <si>
    <t>21002320018004100008</t>
  </si>
  <si>
    <t>21002320020002000000</t>
  </si>
  <si>
    <t>21002390005002000000</t>
  </si>
  <si>
    <t>21002490012002000000</t>
  </si>
  <si>
    <t>โครงการพระราชดำริและเฉลิมพระเกียรติ</t>
  </si>
  <si>
    <t>กิจกรรมสนับสนุนการดำเนินงานตามคึรงการพราราชดำริและเฉลิมพระเกีนรติ
เพื่อพัฒนาระบบบริการสาธารณสุขสำหรับผู้ต้องขังในเรือนจำ</t>
  </si>
  <si>
    <t>210026682282000000</t>
  </si>
  <si>
    <t>8.สธ.0206.03/ว404-24พ.ย.65</t>
  </si>
  <si>
    <t>21002668228200000</t>
  </si>
  <si>
    <t>รายการเงินอุดหนุนโครงการควบคุมโรคหนอนพยาธิตามแผนพัฒนาเด็กและเยาวชนในถิ่นทุรกันดารตามพระราชดำริ</t>
  </si>
  <si>
    <t>กิจกรรมสนับสนุนการดำเนินงานตามคึรงการพราราชดำริและเฉลิมพระเกีนรติ
รายการเงินอุดหนุนโครงการควบคุมโรคหนอนพยาธิตามแผนพัฒนาเด็กและเยาวชนในถิ่นทุรกันดารตามพระราชดำริ</t>
  </si>
  <si>
    <t>แผนงานบูรณาการป้องกัน ปราบปราม และบำบัดรักษาผู้ติดยาเสพติด</t>
  </si>
  <si>
    <t>โครงการลดปัจจัยเสี่ยงทางสุขภาพด้านยาเสพติดแบบบูรณาการ</t>
  </si>
  <si>
    <t>21002661264200000</t>
  </si>
  <si>
    <t>กิจกรรมให้บริการรักษาพยาบาลและฟื้นฟูสภาพผู้ป่วยยาเสพติดในพื้นที่</t>
  </si>
  <si>
    <t>กิจกรรมติดตามดูแล ช่วยเหลือ ผู้ผ่านการบำบัดรักษายาเสพติด</t>
  </si>
  <si>
    <t>21002668756300000</t>
  </si>
  <si>
    <t>10สธ.0206.03/ว408-25พ.ย.65</t>
  </si>
  <si>
    <t>โครงการพัฒนาระบบบริการสุขภาพ</t>
  </si>
  <si>
    <t>21002668207000000</t>
  </si>
  <si>
    <t>แผนงานบูรณาการเตรียมความพร้อมเพื่อรองรับสังคมสูงวัย</t>
  </si>
  <si>
    <t>โครงการสร้างเสริมระบบการดูแลสุขภาพเพื่อรองรับผู้สูงอายุแบบบูรณาการ</t>
  </si>
  <si>
    <t>กิจกรรมสร้างเสริมระบบการดูแลด้านสุขภาพเพื่อรองรับสังคมผู้สูงอายุ</t>
  </si>
  <si>
    <t>แผนงานยุทธสาสตร์จัดการมลพิษและสิ่งแวดล้อม</t>
  </si>
  <si>
    <t>โครงการบริหารจัดการขยะและสิ่งแวดล้อม</t>
  </si>
  <si>
    <t>กิจกรรมสนับสนุนการบริหารจัดสรรขยะและสิ่งแวดล้อมในสถานบริการสาธารณสุข</t>
  </si>
  <si>
    <t>21002668392100000</t>
  </si>
  <si>
    <t>ค่าไม่ทำเวช</t>
  </si>
  <si>
    <t>รายงานแสดงยอดงบประมาณตามหน่วยรับงบประมาณ NFMA55 (เบิกจ่าย)</t>
  </si>
  <si>
    <t>เลขที่เอกสาร
อ้างอิง</t>
  </si>
  <si>
    <t>รายการ</t>
  </si>
  <si>
    <t>G/L</t>
  </si>
  <si>
    <t>รหัสกิจกรรมหลัก</t>
  </si>
  <si>
    <t>ชื่อรหัสกิจกรรมหลัก</t>
  </si>
  <si>
    <t>หน่วยรับ
งบประมาณ</t>
  </si>
  <si>
    <t>วันที่ผ่านรายการ</t>
  </si>
  <si>
    <t>ประเภท
จำนวนเงิน</t>
  </si>
  <si>
    <t>งบใช้จ่าย</t>
  </si>
  <si>
    <t>3700002603</t>
  </si>
  <si>
    <t>2</t>
  </si>
  <si>
    <t>5107010113</t>
  </si>
  <si>
    <t>6641210</t>
  </si>
  <si>
    <t>รายการงบประจำ งบดำเนินงาน</t>
  </si>
  <si>
    <t>19/11/2565</t>
  </si>
  <si>
    <t>10_ต้นแบบ</t>
  </si>
  <si>
    <t>3700003093</t>
  </si>
  <si>
    <t>20/11/2565</t>
  </si>
  <si>
    <t>3700003094</t>
  </si>
  <si>
    <t>3700003098</t>
  </si>
  <si>
    <t>21/11/2565</t>
  </si>
  <si>
    <t>3700003101</t>
  </si>
  <si>
    <t>3700003103</t>
  </si>
  <si>
    <t>3700003104</t>
  </si>
  <si>
    <t>3700006523</t>
  </si>
  <si>
    <t>25/11/2565</t>
  </si>
  <si>
    <t>3700006537</t>
  </si>
  <si>
    <t>3700006579</t>
  </si>
  <si>
    <t>3700006587</t>
  </si>
  <si>
    <t xml:space="preserve"> * รวมทั้งหมด </t>
  </si>
  <si>
    <t>เลขที่ ฎ.</t>
  </si>
  <si>
    <t>3700002609</t>
  </si>
  <si>
    <t>3700002670</t>
  </si>
  <si>
    <t>3700002671</t>
  </si>
  <si>
    <t>3700002672</t>
  </si>
  <si>
    <t>3700002725</t>
  </si>
  <si>
    <t>3700002733</t>
  </si>
  <si>
    <t>3700002740</t>
  </si>
  <si>
    <t>3700002747</t>
  </si>
  <si>
    <t>3700002752</t>
  </si>
  <si>
    <t>3700002753</t>
  </si>
  <si>
    <t>3700002760</t>
  </si>
  <si>
    <t>3700002789</t>
  </si>
  <si>
    <t>3700002794</t>
  </si>
  <si>
    <t>3700002805</t>
  </si>
  <si>
    <t>3700002824</t>
  </si>
  <si>
    <t>3700002829</t>
  </si>
  <si>
    <t>3700002830</t>
  </si>
  <si>
    <t>3700002848</t>
  </si>
  <si>
    <t>3700002850</t>
  </si>
  <si>
    <t>3700002853</t>
  </si>
  <si>
    <t>3700002856</t>
  </si>
  <si>
    <t>3700002859</t>
  </si>
  <si>
    <t>3700002861</t>
  </si>
  <si>
    <t>3700002863</t>
  </si>
  <si>
    <t>3700002873</t>
  </si>
  <si>
    <t>3700002884</t>
  </si>
  <si>
    <t>3700002895</t>
  </si>
  <si>
    <t>3700002905</t>
  </si>
  <si>
    <t>3700002910</t>
  </si>
  <si>
    <t>3700002913</t>
  </si>
  <si>
    <t>3700002920</t>
  </si>
  <si>
    <t>3700002935</t>
  </si>
  <si>
    <t>3700002943</t>
  </si>
  <si>
    <t>3700002947</t>
  </si>
  <si>
    <t>3700002955</t>
  </si>
  <si>
    <t>3700002965</t>
  </si>
  <si>
    <t>3700002975</t>
  </si>
  <si>
    <t>3700002990</t>
  </si>
  <si>
    <t>3700003009</t>
  </si>
  <si>
    <t>3700003034</t>
  </si>
  <si>
    <t>3700003095</t>
  </si>
  <si>
    <t>3700003216</t>
  </si>
  <si>
    <t>3700003226</t>
  </si>
  <si>
    <t>3700003232</t>
  </si>
  <si>
    <t>3700003237</t>
  </si>
  <si>
    <t>3700003243</t>
  </si>
  <si>
    <t>3700003253</t>
  </si>
  <si>
    <t>3700003262</t>
  </si>
  <si>
    <t>3700003381</t>
  </si>
  <si>
    <t>3700003384</t>
  </si>
  <si>
    <t>5104010113</t>
  </si>
  <si>
    <t>3700003392</t>
  </si>
  <si>
    <t>3700003401</t>
  </si>
  <si>
    <t>3700003408</t>
  </si>
  <si>
    <t>3700003414</t>
  </si>
  <si>
    <t>3700003515</t>
  </si>
  <si>
    <t>3700003535</t>
  </si>
  <si>
    <t>3700003546</t>
  </si>
  <si>
    <t>3700003636</t>
  </si>
  <si>
    <t>3700003656</t>
  </si>
  <si>
    <t>3700003666</t>
  </si>
  <si>
    <t>3700003886</t>
  </si>
  <si>
    <t>22/11/2565</t>
  </si>
  <si>
    <t>3700003902</t>
  </si>
  <si>
    <t>3700003922</t>
  </si>
  <si>
    <t>3700003938</t>
  </si>
  <si>
    <t>3700003941</t>
  </si>
  <si>
    <t>3700003949</t>
  </si>
  <si>
    <t>3700003956</t>
  </si>
  <si>
    <t>3700003978</t>
  </si>
  <si>
    <t>3700003985</t>
  </si>
  <si>
    <t>3700003988</t>
  </si>
  <si>
    <t>3700003993</t>
  </si>
  <si>
    <t>3700003997</t>
  </si>
  <si>
    <t>3700004001</t>
  </si>
  <si>
    <t>3700004014</t>
  </si>
  <si>
    <t>3700004018</t>
  </si>
  <si>
    <t>3700004068</t>
  </si>
  <si>
    <t>3700004072</t>
  </si>
  <si>
    <t>3700004079</t>
  </si>
  <si>
    <t>3700004085</t>
  </si>
  <si>
    <t>3700004089</t>
  </si>
  <si>
    <t>3700004091</t>
  </si>
  <si>
    <t>3700004092</t>
  </si>
  <si>
    <t>3700004147</t>
  </si>
  <si>
    <t>3700004156</t>
  </si>
  <si>
    <t>3700004165</t>
  </si>
  <si>
    <t>3700004170</t>
  </si>
  <si>
    <t>3700004174</t>
  </si>
  <si>
    <t>3700004181</t>
  </si>
  <si>
    <t>3700004186</t>
  </si>
  <si>
    <t>3700004189</t>
  </si>
  <si>
    <t>3700004192</t>
  </si>
  <si>
    <t>3700004196</t>
  </si>
  <si>
    <t>3700004201</t>
  </si>
  <si>
    <t>3700004377</t>
  </si>
  <si>
    <t>3700004381</t>
  </si>
  <si>
    <t>3700004384</t>
  </si>
  <si>
    <t>3700004389</t>
  </si>
  <si>
    <t>3700004667</t>
  </si>
  <si>
    <t>23/11/2565</t>
  </si>
  <si>
    <t>3700004668</t>
  </si>
  <si>
    <t>3700004669</t>
  </si>
  <si>
    <t>3700004670</t>
  </si>
  <si>
    <t>3700004671</t>
  </si>
  <si>
    <t>3700004672</t>
  </si>
  <si>
    <t>3700004673</t>
  </si>
  <si>
    <t>3700004675</t>
  </si>
  <si>
    <t>3700004676</t>
  </si>
  <si>
    <t>3700004678</t>
  </si>
  <si>
    <t>3700004679</t>
  </si>
  <si>
    <t>3700004680</t>
  </si>
  <si>
    <t>3700004681</t>
  </si>
  <si>
    <t>3700004682</t>
  </si>
  <si>
    <t>3700004688</t>
  </si>
  <si>
    <t>3700004741</t>
  </si>
  <si>
    <t>3700004743</t>
  </si>
  <si>
    <t>3700004746</t>
  </si>
  <si>
    <t>3700004749</t>
  </si>
  <si>
    <t>3700004753</t>
  </si>
  <si>
    <t>3700004763</t>
  </si>
  <si>
    <t>3700004771</t>
  </si>
  <si>
    <t>3700004777</t>
  </si>
  <si>
    <t>3700004780</t>
  </si>
  <si>
    <t>3700004783</t>
  </si>
  <si>
    <t>3700004785</t>
  </si>
  <si>
    <t>3700004787</t>
  </si>
  <si>
    <t>3700004791</t>
  </si>
  <si>
    <t>3700004795</t>
  </si>
  <si>
    <t>3700004799</t>
  </si>
  <si>
    <t>3700004803</t>
  </si>
  <si>
    <t>3700004808</t>
  </si>
  <si>
    <t>3700004811</t>
  </si>
  <si>
    <t>3700004815</t>
  </si>
  <si>
    <t>3700004818</t>
  </si>
  <si>
    <t>3700004821</t>
  </si>
  <si>
    <t>3700004929</t>
  </si>
  <si>
    <t>3700004973</t>
  </si>
  <si>
    <t>3700004984</t>
  </si>
  <si>
    <t>3700004989</t>
  </si>
  <si>
    <t>3700004999</t>
  </si>
  <si>
    <t>3700005002</t>
  </si>
  <si>
    <t>3700005009</t>
  </si>
  <si>
    <t>3700005016</t>
  </si>
  <si>
    <t>3700005173</t>
  </si>
  <si>
    <t>3700005178</t>
  </si>
  <si>
    <t>3700005183</t>
  </si>
  <si>
    <t>3700005192</t>
  </si>
  <si>
    <t>3700005199</t>
  </si>
  <si>
    <t>3700005203</t>
  </si>
  <si>
    <t>3700005205</t>
  </si>
  <si>
    <t>3700005206</t>
  </si>
  <si>
    <t>3700005652</t>
  </si>
  <si>
    <t>24/11/2565</t>
  </si>
  <si>
    <t>3700005657</t>
  </si>
  <si>
    <t>3700005661</t>
  </si>
  <si>
    <t>3700005667</t>
  </si>
  <si>
    <t>3700005669</t>
  </si>
  <si>
    <t>3700005671</t>
  </si>
  <si>
    <t>3700005674</t>
  </si>
  <si>
    <t>3700005677</t>
  </si>
  <si>
    <t>3700005687</t>
  </si>
  <si>
    <t>3700005701</t>
  </si>
  <si>
    <t>3700005712</t>
  </si>
  <si>
    <t>3700005720</t>
  </si>
  <si>
    <t>3700005725</t>
  </si>
  <si>
    <t>3700005734</t>
  </si>
  <si>
    <t>3700006491</t>
  </si>
  <si>
    <t>3700006800</t>
  </si>
  <si>
    <t>3700006803</t>
  </si>
  <si>
    <t>3700006807</t>
  </si>
  <si>
    <t>3700006809</t>
  </si>
  <si>
    <t>3700006817</t>
  </si>
  <si>
    <t>3700006824</t>
  </si>
  <si>
    <t>3700007282</t>
  </si>
  <si>
    <t>3700007296</t>
  </si>
  <si>
    <t>3700007307</t>
  </si>
  <si>
    <t>3700007398</t>
  </si>
  <si>
    <t>3700007402</t>
  </si>
  <si>
    <t>3700007408</t>
  </si>
  <si>
    <t>3700007420</t>
  </si>
  <si>
    <t>3700007432</t>
  </si>
  <si>
    <t>3700007438</t>
  </si>
  <si>
    <t>3700007448</t>
  </si>
  <si>
    <t>3700007452</t>
  </si>
  <si>
    <t>3700007458</t>
  </si>
  <si>
    <t>3700007464</t>
  </si>
  <si>
    <t>3700007471</t>
  </si>
  <si>
    <t>3700007477</t>
  </si>
  <si>
    <t>3700007480</t>
  </si>
  <si>
    <t>3700007504</t>
  </si>
  <si>
    <t>3700007508</t>
  </si>
  <si>
    <t>3700007511</t>
  </si>
  <si>
    <t>3700007514</t>
  </si>
  <si>
    <t>3700007519</t>
  </si>
  <si>
    <t>3700007526</t>
  </si>
  <si>
    <t>3700007532</t>
  </si>
  <si>
    <t>3700007545</t>
  </si>
  <si>
    <t>3700007565</t>
  </si>
  <si>
    <t>3700007571</t>
  </si>
  <si>
    <t>3700007577</t>
  </si>
  <si>
    <t>3700007700</t>
  </si>
  <si>
    <t>26/11/2565</t>
  </si>
  <si>
    <t>3700007705</t>
  </si>
  <si>
    <t>3700007707</t>
  </si>
  <si>
    <t>3700007708</t>
  </si>
  <si>
    <t>3700007712</t>
  </si>
  <si>
    <t>3700007716</t>
  </si>
  <si>
    <t>3700007826</t>
  </si>
  <si>
    <t>3700007830</t>
  </si>
  <si>
    <t>3700007834</t>
  </si>
  <si>
    <t>3700007838</t>
  </si>
  <si>
    <t>3700007840</t>
  </si>
  <si>
    <t>3700007842</t>
  </si>
  <si>
    <t>3700007845</t>
  </si>
  <si>
    <t>3700007847</t>
  </si>
  <si>
    <t>3700007849</t>
  </si>
  <si>
    <t>3700007856</t>
  </si>
  <si>
    <t>3700007864</t>
  </si>
  <si>
    <t>3700007867</t>
  </si>
  <si>
    <t>3700007870</t>
  </si>
  <si>
    <t>ยกเลิก</t>
  </si>
  <si>
    <t>ค่าตอบแทนเสี่ยงภัย-สสอ.ลาดบัวหลวง ม.ค.65 (เงินกู้)</t>
  </si>
  <si>
    <t>ค่าตอบแทนเสี่ยงภัย-สสอ.ลาดบัวหลวง ก.พ.65 (เงินกู้)</t>
  </si>
  <si>
    <t>ค่าตอบแทนเสี่ยงภัย-สสอ.ผักไห่ ม.ค.-ก.พ.65 (เงินกู้)</t>
  </si>
  <si>
    <t>ค่าตอบแทนเสี่ยงภัย-สสอ.บางปะอิน ธ.ค.64 (เงินกู้)</t>
  </si>
  <si>
    <t>ค่าตอบแทนเสี่ยงภัย ธ.ค.64-สสอ.บางไทร (เงินกู้)</t>
  </si>
  <si>
    <t>ค่าตอบแทนเสี่ยงภัย ก.พ.65-สสอ.บางไทร (เงินกู้)</t>
  </si>
  <si>
    <t>ค่าตอบแทนเสี่ยงภัย มี.ค.65-สสอ.บางไทร (เงินกู้)</t>
  </si>
  <si>
    <t>ค่าตอบแทนเสี่ยงภัย เม.ย.65-สสอ.บางไทร (เงินกู้)</t>
  </si>
  <si>
    <t>ค่าตอบแทนเสี่ยงภัย พ.ค.65-สสอ.บางไทร (เงินกู้)</t>
  </si>
  <si>
    <t>ค่าตอบแทนเสี่ยงภัย มิ.ย.65-สสอ.บางไทร (เงินกู้)</t>
  </si>
  <si>
    <t>ค่าตอบแทนเสี่ยงภัย ธ.ค.64-สสอ.เสนา (เงินกู้)</t>
  </si>
  <si>
    <t>ค่าตอบแทนเสี่ยงภัย ม.ค.65-สสอ.เสนา (เงินกู้)</t>
  </si>
  <si>
    <t>ค่าตอบแทนเสี่ยงภัย ก.พ.65-สสอ.เสนา (เงินกู้)</t>
  </si>
  <si>
    <t>ค่าตอบแทนเสี่ยงภัย มี.ค.65-สสอ.เสนา (เงินกู้)</t>
  </si>
  <si>
    <t>ค่าตอบแทนเสี่ยงภัย เม.ย.65-สสอ.เสนา (เงินกู้)</t>
  </si>
  <si>
    <t>ค่าตอบแทนเสี่ยงภัย พ.ค.65-สสอ.เสนา (เงินกู้)</t>
  </si>
  <si>
    <t>ค่าตอบแทนเสี่ยงภัย มิ.ย.65-สสอ.เสนา (เงินกู้)</t>
  </si>
  <si>
    <t>ค่าตอบแทนเสี่ยงภัย ธ.ค.64-สสอ.วังน้อย (เงินกู้)</t>
  </si>
  <si>
    <t>ค่าตอบแทนเสี่ยงภัย ม.ค.65-สสอ.วังน้อย (เงินกู้)</t>
  </si>
  <si>
    <t>ค่าตอบแทนเสี่ยงภัย ก.พ.65-สสอ.วังน้อย (เงินกู้)</t>
  </si>
  <si>
    <t>ค่าตอบแทนเสี่ยงภัย มี.ค.65-สสอ.วังน้อย (เงินกู้)</t>
  </si>
  <si>
    <t>ค่าตอบแทนเสี่ยงภัย เม.ย.65-สสอ.วังน้อย (เงินกู้)</t>
  </si>
  <si>
    <t>ค่าตอบแทนเสี่ยงภัย พ.ค.65-สสอ.วังน้อย (เงินกู้)</t>
  </si>
  <si>
    <t>ค่าตอบแทนเสี่ยงภัย มิ.ย.65-สสอ.วังน้อย (เงินกู้)</t>
  </si>
  <si>
    <t>ค่าตอบแทนเสี่ยงภัย พ.ย.64-สสอ.มหาราช (เงินกู้)</t>
  </si>
  <si>
    <t>ค่าตอบแทนเสี่ยงภัย ธ.ค.64-สสอ.มหาราช (เงินกู้)</t>
  </si>
  <si>
    <t>ค่าตอบแทนเสี่ยงภัย ม.ค.65-สสอ.มหาราช (เงินกู้)</t>
  </si>
  <si>
    <t>ค่าตอบแทนเสี่ยงภัย ก.พ.65-สสอ.มหาราช (เงินกู้)</t>
  </si>
  <si>
    <t>ค่าตอบแทนเสี่ยงภัย มี.ค.65-สสอ.มหาราช (เงินกู้)</t>
  </si>
  <si>
    <t>ค่าตอบแทนเสี่ยงภัย เม.ย.65-สสอ.มหาราช (เงินกู้)</t>
  </si>
  <si>
    <t>ค่าตอบแทนเสี่ยงภัย พ.ค.65-สสอ.มหาราช (เงินกู้)</t>
  </si>
  <si>
    <t>ค่าตอบแทนเสี่ยงภัย มิ.ย.65-สสอ.มหาราช (เงินกู้)</t>
  </si>
  <si>
    <t>ค่าตอบแทนเสี่ยงภัย ม.ค.65-สสอ.นครหลวง (เงินกู้)</t>
  </si>
  <si>
    <t>ค่าตอบแทนเสี่ยงภัย ก.พ.65-สสอ.นครหลวง (เงินกู้)</t>
  </si>
  <si>
    <t>ค่าตอบแทนเสี่ยงภัย มี.ค.65-สสอ.นครหลวง (เงินกู้)</t>
  </si>
  <si>
    <t>ค่าตอบแทนเสี่ยงภัย เม.ย.65-สสอ.นครหลวง (เงินกู้)</t>
  </si>
  <si>
    <t>ค่าตอบแทนเสี่ยงภัย พ.ค.65-สสอ.นครหลวง (เงินกู้)</t>
  </si>
  <si>
    <t>ค่าตอบแทนเสี่ยงภัย มิ.ย.65-สสอ.นครหลวง (เงินกู้)</t>
  </si>
  <si>
    <t>ค่าตอบแทนเสี่ยงภัย ธ.ค.64-รพ.บางปะอิน (เงินกู้)</t>
  </si>
  <si>
    <t>ค่าตอบแทนเสี่ยงภัย ธ.ค.64-สสอ.บ้านแพรก (เงินกู้)</t>
  </si>
  <si>
    <t>ค่าตอบแทนเสี่ยงภัย ม.ค.65-สสอ.บ้านแพรก (เงินกู้)</t>
  </si>
  <si>
    <t>ค่าตอบแทนเสี่ยงภัย ก.พ.65-สสอ.บ้านแพรก (เงินกู้)</t>
  </si>
  <si>
    <t>ค่าตอบแทนเสี่ยงภัย มี.ค.65-สสอ.บ้านแพรก (เงินกู้)</t>
  </si>
  <si>
    <t>ค่าตอบแทนเสี่ยงภัย เม.ย.65-สสอ.บ้านแพรก (เงินกู้)</t>
  </si>
  <si>
    <t>ค่าตอบแทนเสี่ยงภัย พ.ค.65-สสอ.บ้านแพรก (เงินกู้)</t>
  </si>
  <si>
    <t>ค่าตอบแทนเสี่ยงภัย มิ.ย.65-สสอ.บ้านแพรก (เงินกู้)</t>
  </si>
  <si>
    <t>ค่าตอบแทนเสี่ยงภัย ธ.ค.64-สสอ.บางซ้าย (เงินกู้)</t>
  </si>
  <si>
    <t>ค่าตอบแทนเสี่ยงภัย ม.ค.65-สสอ.บางซ้าย (เงินกู้)</t>
  </si>
  <si>
    <t>ค่าตอบแทนเสี่ยงภัย ก.พ.65-สสอ.บางซ้าย (เงินกู้)</t>
  </si>
  <si>
    <t>ค่าตอบแทนเสี่ยงภัย มี.ค.65-สสอ.บางซ้าย (เงินกู้)</t>
  </si>
  <si>
    <t>ค่าตอบแทนเสี่ยงภัย เม.ย.65-สสอ.บางซ้าย (เงินกู้)</t>
  </si>
  <si>
    <t>ค่าตอบแทนเสี่ยงภัย พ.ค.65-สสอ.บางซ้าย (เงินกู้)</t>
  </si>
  <si>
    <t>ค่าตอบแทนเสี่ยงภัย ม.ค.65-สสอ.อุทัย (เงินกู้)</t>
  </si>
  <si>
    <t>ค่าตอบแทนเสี่ยงภัย ก.พ.65-สสอ.อุทัย (เงินกู้)</t>
  </si>
  <si>
    <t>ค่าตอบแทนเสี่ยงภัย มี.ค.65-สสอ.อุทัย (เงินกู้)</t>
  </si>
  <si>
    <t>ค่าตอบแทนเสี่ยงภัย เม.ย.65-สสอ.อุทัย (เงินกู้)</t>
  </si>
  <si>
    <t>ค่าตอบแทนเสี่ยงภัย พ.ค.65-สสอ.อุทัย (เงินกู้)</t>
  </si>
  <si>
    <t>ค่าตอบแทนเสี่ยงภัย มิ.ย.65-สสอ.อุทัย (เงินกู้)</t>
  </si>
  <si>
    <t>ค่าตอบแทนเสี่ยงภัย ม.ค.65-สสอ.บางปะอิน (เงินกู้)</t>
  </si>
  <si>
    <t>ค่าตอบแทนเสี่ยงภัย ก.พ.65-สสอ.บางปะอิน (เงินกู้)</t>
  </si>
  <si>
    <t>ค่าตอบแทนเสี่ยงภัย มี.ค.65-สสอ.บางปะอิน (เงินกู้)</t>
  </si>
  <si>
    <t>ค่าตอบแทนเสี่ยงภัย เม.ย.65-สสอ.บางปะอิน (เงินกู้)</t>
  </si>
  <si>
    <t>ค่าตอบแทนเสี่ยงภัย พ.ค.65-สสอ.บางปะอิน (เงินกู้)</t>
  </si>
  <si>
    <t>ค่าตอบแทนเสี่ยงภัย มิ.ย.65-สสอ.บางปะอิน (เงินกู้)</t>
  </si>
  <si>
    <t>ค่าตอบแทนเสี่ยงภัย ธ.ค.64-รพ.อุทัย (เงินกู้)</t>
  </si>
  <si>
    <t>ค่าตอบแทนเสี่ยงภัย ม.ค.65-รพ.อุทัย (เงินกู้)</t>
  </si>
  <si>
    <t>ค่าตอบแทนเสี่ยงภัย ก.พ.65-รพ.อุทัย (เงินกู้)</t>
  </si>
  <si>
    <t>ค่าตอบแทนเสี่ยงภัย มี.ค.65-รพ.อุทัย (เงินกู้)</t>
  </si>
  <si>
    <t>ค่าตอบแทนเสี่ยงภัย เม.ย.65-รพ.อุทัย (เงินกู้)</t>
  </si>
  <si>
    <t>ค่าตอบแทนเสี่ยงภัย พ.ค.65-รพ.อุทัย (เงินกู้)</t>
  </si>
  <si>
    <t>ค่าตอบแทนเสี่ยงภัย มิ.ย.65-รพ.อุทัย (เงินกู้)</t>
  </si>
  <si>
    <t>ค่าตอบแทนเสี่ยงภัย ธ.ค.64-รพ.ท่าเรือ (เงินกู้)</t>
  </si>
  <si>
    <t>ค่าตอบแทนเสี่ยงภัย ม.ค.65-รพ.ท่าเรือ (เงินกู้)</t>
  </si>
  <si>
    <t>ค่าตอบแทนเสี่ยงภัย ธ.ค.64-รพ.เสนา (เงินกู้)</t>
  </si>
  <si>
    <t>ค่าตอบแทนเสี่ยงภัย ม.ค.65-รพ.เสนา (เงินกู้)</t>
  </si>
  <si>
    <t>ค่าตอบแทนเสี่ยงภัย ก.พ.65-รพ.เสนา (เงินกู้)</t>
  </si>
  <si>
    <t>ค่าตอบแทนเสี่ยงภัย มี.ค.65-รพ.เสนา (เงินกู้)</t>
  </si>
  <si>
    <t>ค่าตอบแทนเสี่ยงภัย เม.ย.65-รพ.เสนา (เงินกู้)</t>
  </si>
  <si>
    <t>ค่าตอบแทนเสี่ยงภัย พ.ค.65-รพ.เสนา (เงินกู้)</t>
  </si>
  <si>
    <t>ค่าตอบแทนเสี่ยงภัย มิ.ย.65-รพ.เสนา (เงินกู้)</t>
  </si>
  <si>
    <t>ค่าตอบแทนเสี่ยงภัย มี.ค.65-สสอ.ลาดบัวหลวง (เงินกู้)</t>
  </si>
  <si>
    <t>ค่าตอบแทนเสี่ยงภัย เม.ย.65-สสอ.ลาดบัวหลวง (เงินกู้)</t>
  </si>
  <si>
    <t>ค่าตอบแทนเสี่ยงภัย พ.ค.65-สสอ.ลาดบัวหลวง (เงินกู้)</t>
  </si>
  <si>
    <t>ค่าตอบแทนเสี่ยงภัย มิ.ย.65-สสอ.ลาดบัวหลวง (เงินกู้)</t>
  </si>
  <si>
    <t>ค่าตอบแทนเสี่ยงภัย มี.ค.65-สสอ.ผักไห่ (เงินกู้)</t>
  </si>
  <si>
    <t>ค่าตอบแทนเสี่ยงภัย เม.ย.65-สสอ.ผักไห่ (เงินกู้)</t>
  </si>
  <si>
    <t>ค่าตอบแทนเสี่ยงภัย พ.ค.65-สสอ.ผักไห่ (เงินกู้)</t>
  </si>
  <si>
    <t>ค่าตอบแทนเสี่ยงภัย มิ.ย.65-สสอ.ผักไห่ (เงินกู้)</t>
  </si>
  <si>
    <t>ค่าตอบแทนเสี่ยงภัย ธ.ค.64-รพ.สมเด็จฯ (เงินกู้)</t>
  </si>
  <si>
    <t>ค่าตอบแทนเสี่ยงภัย ม.ค.65-รพ.สมเด็จฯ (เงินกู้)</t>
  </si>
  <si>
    <t>ค่าตอบแทนเสี่ยงภัย ก.พ.65-รพ.สมเด็จฯ (เงินกู้)</t>
  </si>
  <si>
    <t>ค่าตอบแทนเสี่ยงภัย มี.ค.65-รพ.สมเด็จฯ (เงินกู้)</t>
  </si>
  <si>
    <t>ค่าตอบแทนเสี่ยงภัย เม.ย.65-รพ.สมเด็จฯ (เงินกู้)</t>
  </si>
  <si>
    <t>ค่าตอบแทนเสี่ยงภัย พ.ค.65-รพ.สมเด็จฯ (เงินกู้)</t>
  </si>
  <si>
    <t>ค่าตอบแทนเสี่ยงภัย มิ.ย.65-รพ.สมเด็จฯ (เงินกู้)</t>
  </si>
  <si>
    <t>ค่าตอบแทนเสี่ยงภัย ธ.ค.64-รพ.บางไทร (เงินกู้)</t>
  </si>
  <si>
    <t>ค่าตอบแทนเสี่ยงภัย ม.ค.65-รพ.บางไทร (เงินกู้)</t>
  </si>
  <si>
    <t>ค่าตอบแทนเสี่ยงภัย ก.พ.65-รพ.บางไทร (เงินกู้)</t>
  </si>
  <si>
    <t>ค่าตอบแทนเสี่ยงภัย มี.ค.65-รพ.บางไทร (เงินกู้)</t>
  </si>
  <si>
    <t>ค่าตอบแทนเสี่ยงภัย เม.ย.65-รพ.บางไทร (เงินกู้)</t>
  </si>
  <si>
    <t>ค่าตอบแทนเสี่ยงภัย พ.ค.65-รพ.บางไทร (เงินกู้)</t>
  </si>
  <si>
    <t>ค่าตอบแทนเสี่ยงภัย มิ.ย.65-รพ.บางไทร (เงินกู้)</t>
  </si>
  <si>
    <t>ค่าตอบแทนเสี่ยงภัย ธ.ค.64-รพ.บางไทร (งบกลาง)</t>
  </si>
  <si>
    <t>ค่าตอบแทนเสี่ยงภัย ม.ค.65-รพ.บางไทร (งบกลาง)</t>
  </si>
  <si>
    <t>ค่าตอบแทนเสี่ยงภัย พ.ย.64-รพ.บางปะหัน (เงินกู้)</t>
  </si>
  <si>
    <t>ค่าตอบแทนเสี่ยงภัย ธ.ค.64-รพ.บางปะหัน (เงินกู้)</t>
  </si>
  <si>
    <t>ค่าตอบแทนเสี่ยงภัย ม.ค.65-รพ.บางปะหัน (เงินกู้)</t>
  </si>
  <si>
    <t>ค่าตอบแทนเสี่ยงภัย ก.พ.65-รพ.บางปะหัน (เงินกู้)</t>
  </si>
  <si>
    <t>ค่าตอบแทนเสี่ยงภัย มี.ค.65-รพ.บางปะหัน (เงินกู้)</t>
  </si>
  <si>
    <t>ค่าตอบแทนเสี่ยงภัย เม.ย.65-รพ.บางปะหัน (เงินกู้)</t>
  </si>
  <si>
    <t>ค่าตอบแทนเสี่ยงภัย พ.ค.65-รพ.บางปะหัน (เงินกู้)</t>
  </si>
  <si>
    <t>ค่าตอบแทนเสี่ยงภัย มิ.ย.65-รพ.บางปะหัน (เงินกู้)</t>
  </si>
  <si>
    <t>ค่าตอบแทนเสี่ยงภัย ธ.ค.64-รพ.บางปะหัน (งบกลาง)</t>
  </si>
  <si>
    <t>ค่าตอบแทนเสี่ยงภัย ม.ค.65-รพ.บางปะหัน (งบกลาง)</t>
  </si>
  <si>
    <t>ค่าตอบแทนเสี่ยงภัย ธ.ค.64-รพ.ผักไห่ (เงินกู้)</t>
  </si>
  <si>
    <t>ค่าตอบแทนเสี่ยงภัย ม.ค.65-รพ.ผักไห่ (เงินกู้)</t>
  </si>
  <si>
    <t>ค่าตอบแทนเสี่ยงภัย ก.พ.65-รพ.ผักไห่ (เงินกู้)</t>
  </si>
  <si>
    <t>ค่าตอบแทนเสี่ยงภัย มี.ค.65-รพ.ผักไห่ (เงินกู้)</t>
  </si>
  <si>
    <t>ค่าตอบแทนเสี่ยงภัย เม.ย.65-รพ.ผักไห่ (เงินกู้)</t>
  </si>
  <si>
    <t>ค่าตอบแทนเสี่ยงภัย พ.ค.65-รพ.ผักไห่ (เงินกู้)</t>
  </si>
  <si>
    <t>ค่าตอบแทนเสี่ยงภัย มิ.ย.65-รพ.ผักไห่ (เงินกู้)</t>
  </si>
  <si>
    <t>ค่าตอบแทนเสี่ยงภัย ธ.ค.64-รพ.ผักไห่ (งบกลาง)</t>
  </si>
  <si>
    <t>ค่าตอบแทนเสี่ยงภัย ม.ค.65-รพ.ผักไห่ (งบกลาง)</t>
  </si>
  <si>
    <t>ค่าตอบแทนเสี่ยงภัย ก.พ.65-รพ.ผักไห่ (งบกลาง)</t>
  </si>
  <si>
    <t>ค่าตอบแทนเสี่ยงภัย ธ.ค.64-รพ.บ้านแพรก (เงินกู้)</t>
  </si>
  <si>
    <t>ค่าตอบแทนเสี่ยงภัย ม.ค.65-รพ.บ้านแพรก (เงินกู้)</t>
  </si>
  <si>
    <t>ค่าตอบแทนเสี่ยงภัย ก.พ.65-รพ.บ้านแพรก (เงินกู้)</t>
  </si>
  <si>
    <t>ค่าตอบแทนเสี่ยงภัย มี.ค.65-รพ.บ้านแพรก (เงินกู้)</t>
  </si>
  <si>
    <t>ค่าตอบแทนเสี่ยงภัย เม.ย.65-รพ.บ้านแพรก (เงินกู้)</t>
  </si>
  <si>
    <t>ค่าตอบแทนเสี่ยงภัย พ.ค.65-รพ.บ้านแพรก (เงินกู้)</t>
  </si>
  <si>
    <t>ค่าตอบแทนเสี่ยงภัย มิ.ย.65-รพ.บ้านแพรก (เงินกู้)</t>
  </si>
  <si>
    <t>ค่าตอบแทนเสี่ยงภัย ธ.ค.64-รพ.บ้านแพรก (งบกลาง)</t>
  </si>
  <si>
    <t>ค่าตอบแทนเสี่ยงภัย ม.ค.65-รพ.บ้านแพรก (งบกลาง)</t>
  </si>
  <si>
    <t>ค่าตอบแทนเสี่ยงภัย ธ.ค.64-รพ.มหาราช (เงินกู้)</t>
  </si>
  <si>
    <t>ค่าตอบแทนเสี่ยงภัย ธ.ค.64-รพ.มหาราช (งบกลาง)</t>
  </si>
  <si>
    <t>ค่าตอบแทนเสี่ยงภัย ม.ค.65-รพ.มหาราช (เงินกู้)</t>
  </si>
  <si>
    <t>ค่าตอบแทนเสี่ยงภัย ม.ค.65-รพ.มหาราช (งบกลาง)</t>
  </si>
  <si>
    <t>ค่าตอบแทนเสี่ยงภัย ก.พ.65-รพ.มหาราช (เงินกู้)</t>
  </si>
  <si>
    <t>ค่าตอบแทนเสี่ยงภัย มี.ค.65-รพ.มหาราช (เงินกู้)</t>
  </si>
  <si>
    <t>ค่าตอบแทนเสี่ยงภัย เม.ย.65-รพ.มหาราช (เงินกู้)</t>
  </si>
  <si>
    <t>ค่าตอบแทนเสี่ยงภัย พ.ค.65-รพ.มหาราช (เงินกู้)</t>
  </si>
  <si>
    <t>ค่าตอบแทนเสี่ยงภัย มิ.ย.65-รพ.มหาราช (เงินกู้)</t>
  </si>
  <si>
    <t>ค่าตอบแทนเสี่ยงภัย ธ.ค.64-มิ.ย.65-รพ.บางบาล (เงินกู้)</t>
  </si>
  <si>
    <t>ค่าตอบแทนเสี่ยงภัย ธ.ค.64-ม.ค.65-รพ.บางบาล (งบกลาง)</t>
  </si>
  <si>
    <t>ค่าตอบแทนเสี่ยงภัย ธ.ค.64-รพ.วังน้อย (เงินกู้)</t>
  </si>
  <si>
    <t>ค่าตอบแทนเสี่ยงภัย ธ.ค.64-รพ.วังน้อย (งบกลาง)</t>
  </si>
  <si>
    <t>ค่าตอบแทนเสี่ยงภัย ม.ค.65-รพ.วังน้อย (เงินกู้)</t>
  </si>
  <si>
    <t>ค่าตอบแทนเสี่ยงภัย ม.ค.65-รพ.วังน้อย (งบกลาง)</t>
  </si>
  <si>
    <t>ค่าตอบแทนเสี่ยงภัย ก.พ.65-รพ.วังน้อย (เงินกู้)</t>
  </si>
  <si>
    <t>ค่าตอบแทนเสี่ยงภัย มี.ค.65-รพ.วังน้อย (เงินกู้)</t>
  </si>
  <si>
    <t>ค่าตอบแทนเสี่ยงภัย เม.ย.65-รพ.วังน้อย (เงินกู้)</t>
  </si>
  <si>
    <t>ค่าตอบแทนเสี่ยงภัย พ.ค.65-รพ.วังน้อย (เงินกู้)</t>
  </si>
  <si>
    <t>ค่าตอบแทนเสี่ยงภัย มิ.ย.65-รพ.วังน้อย (เงินกู้)</t>
  </si>
  <si>
    <t>ค่าตอบแทนเสี่ยงภัย พ.ย.64-รพ.ภาชี (เงินกู้)</t>
  </si>
  <si>
    <t>ค่าตอบแทนเสี่ยงภัย ธ.ค.64-รพ.ภาชี (เงินกู้)</t>
  </si>
  <si>
    <t>ค่าตอบแทนเสี่ยงภัย ม.ค.65-รพ.ภาชี (เงินกู้)</t>
  </si>
  <si>
    <t>ค่าตอบแทนเสี่ยงภัย ก.พ.65-รพ.ภาชี (เงินกู้)</t>
  </si>
  <si>
    <t>ค่าตอบแทนเสี่ยงภัย มี.ค.65-รพ.ภาชี (เงินกู้)</t>
  </si>
  <si>
    <t>ค่าตอบแทนเสี่ยงภัย เม.ย.65-รพ.ภาชี (เงินกู้)</t>
  </si>
  <si>
    <t>ค่าตอบแทนเสี่ยงภัย พ.ค.65-รพ.ภาชี (เงินกู้)</t>
  </si>
  <si>
    <t>ค่าตอบแทนเสี่ยงภัย มิ.ย.65-รพ.ภาชี (เงินกู้)</t>
  </si>
  <si>
    <t>ค่าตอบแทนเสี่ยงภัย พ.ย.64-รพ.ภาชี (งบกลาง)</t>
  </si>
  <si>
    <t>ค่าตอบแทนเสี่ยงภัย ธ.ค.64-รพ.ภาชี (งบกลาง)</t>
  </si>
  <si>
    <t>ค่าตอบแทนเสี่ยงภัย ม.ค.65-รพ.ภาชี (งบกลาง)</t>
  </si>
  <si>
    <t>ค่าตอบแทนเสี่ยงภัย ธ.ค.64-สสอ.อยุธยา (เงินกู้)</t>
  </si>
  <si>
    <t>ค่าตอบแทนเสี่ยงภัย ธ.ค.64-สสอ.อยุธยา (งบกลาง)</t>
  </si>
  <si>
    <t>ค่าตอบแทนเสี่ยงภัย ม.ค.65-สสอ.อยุธยา (เงินกู้)</t>
  </si>
  <si>
    <t>ค่าตอบแทนเสี่ยงภัย ม.ค.65-สสอ.อยุธยา (งบกลาง)</t>
  </si>
  <si>
    <t>ค่าตอบแทนเสี่ยงภัย ก.พ.65-สสอ.อยุธยา (เงินกู้)</t>
  </si>
  <si>
    <t>ค่าตอบแทนเสี่ยงภัย ก.พ.65-สสอ.อยุธยา (งบกลาง)</t>
  </si>
  <si>
    <t>ค่าตอบแทนเสี่ยงภัย มี.ค.65-สสอ.อยุธยา (เงินกู้)</t>
  </si>
  <si>
    <t>ค่าตอบแทนเสี่ยงภัย มี.ค.65-สสอ.อยุธยา (งบกลาง)</t>
  </si>
  <si>
    <t>ค่าตอบแทนเสี่ยงภัย เม.ย.65-สสอ.อยุธยา(เงินกู้)</t>
  </si>
  <si>
    <t>ค่าตอบแทนเสี่ยงภัย เม.ย.65-สสอ.อยุธยา (งบกลาง)</t>
  </si>
  <si>
    <t>ค่าตอบแทนเสี่ยงภัย พ.ค.65-สสอ.อยุธยา (เงินกู้)</t>
  </si>
  <si>
    <t>ค่าตอบแทนเสี่ยงภัย พ.ค.65-สสอ.อยุธยา (งบกลาง)</t>
  </si>
  <si>
    <t>ค่าตอบแทนเสี่ยงภัย มิ.ย.65-สสอ.อยุธยา (เงินกู้)</t>
  </si>
  <si>
    <t>ค่าตอบแทนเสี่ยงภัย มิ.ย.65-สสอ.อยุธยา (งบกลาง)</t>
  </si>
  <si>
    <t>ค่าตอบแทนเสี่ยงภัย ธ.ค.64-รพ.อยุธยา (เงินกู้)</t>
  </si>
  <si>
    <t>ค่าตอบแทนเสี่ยงภัย ม.ค.65-รพ.อยุธยา (เงินกู้)</t>
  </si>
  <si>
    <t>ค่าตอบแทนเสี่ยงภัย ก.พ.65-รพ.อยุธยา (เงินกู้)</t>
  </si>
  <si>
    <t>ค่าตอบแทนเสี่ยงภัย มี.ค.65-รพ.อยุธยา (เงินกู้)</t>
  </si>
  <si>
    <t>ค่าตอบแทนเสี่ยงภัย เม.ย.65-รพ.อยุธยา (เงินกู้)</t>
  </si>
  <si>
    <t>ค่าตอบแทนเสี่ยงภัย พ.ค.65-รพ.อยุธยา (เงินกู้)</t>
  </si>
  <si>
    <t>ค่าตอบแทนเสี่ยงภัย มิ.ย.65-รพ.อยุธยา (เงินกู้)</t>
  </si>
  <si>
    <t>ค่าตอบแทนเสี่ยงภัย ธ.ค.64-รพ.อยุธยา (งบกลาง)</t>
  </si>
  <si>
    <t>เลข ฎ.</t>
  </si>
  <si>
    <t>3600008666</t>
  </si>
  <si>
    <t>6510210</t>
  </si>
  <si>
    <t>90909620012000000933</t>
  </si>
  <si>
    <t>3600008667</t>
  </si>
  <si>
    <t>3600008703</t>
  </si>
  <si>
    <t>3600008705</t>
  </si>
  <si>
    <t>3600008709</t>
  </si>
  <si>
    <t>3600008715</t>
  </si>
  <si>
    <t>3600008718</t>
  </si>
  <si>
    <t>3600008723</t>
  </si>
  <si>
    <t>3600008726</t>
  </si>
  <si>
    <t>3600008753</t>
  </si>
  <si>
    <t>3600008757</t>
  </si>
  <si>
    <t>3600008761</t>
  </si>
  <si>
    <t>3600008764</t>
  </si>
  <si>
    <t>3600008765</t>
  </si>
  <si>
    <t>3600008771</t>
  </si>
  <si>
    <t>3600008777</t>
  </si>
  <si>
    <t>3600008788</t>
  </si>
  <si>
    <t>3600008794</t>
  </si>
  <si>
    <t>3600008798</t>
  </si>
  <si>
    <t>3600008800</t>
  </si>
  <si>
    <t>3600008806</t>
  </si>
  <si>
    <t>3600008807</t>
  </si>
  <si>
    <t>3600008971</t>
  </si>
  <si>
    <t>3600009532</t>
  </si>
  <si>
    <t>3600009545</t>
  </si>
  <si>
    <t>3600009599</t>
  </si>
  <si>
    <t>3600009606</t>
  </si>
  <si>
    <t>3600009633</t>
  </si>
  <si>
    <t>3600009636</t>
  </si>
  <si>
    <t>3600009638</t>
  </si>
  <si>
    <t>3600009639</t>
  </si>
  <si>
    <t>3600009641</t>
  </si>
  <si>
    <t>3600009642</t>
  </si>
  <si>
    <t>3600009670</t>
  </si>
  <si>
    <t>3600009681</t>
  </si>
  <si>
    <t>3600009687</t>
  </si>
  <si>
    <t>3600009792</t>
  </si>
  <si>
    <t>3600009798</t>
  </si>
  <si>
    <t>3600009808</t>
  </si>
  <si>
    <t>3600009839</t>
  </si>
  <si>
    <t>3600009844</t>
  </si>
  <si>
    <t>3600009855</t>
  </si>
  <si>
    <t>3600009859</t>
  </si>
  <si>
    <t>3600009866</t>
  </si>
  <si>
    <t>3600009869</t>
  </si>
  <si>
    <t>3600009874</t>
  </si>
  <si>
    <t>3600010084</t>
  </si>
  <si>
    <t>3600010091</t>
  </si>
  <si>
    <t>3600010119</t>
  </si>
  <si>
    <t>3600010124</t>
  </si>
  <si>
    <t>3600010200</t>
  </si>
  <si>
    <t>3600010209</t>
  </si>
  <si>
    <t>3600010220</t>
  </si>
  <si>
    <t>3600010241</t>
  </si>
  <si>
    <t>3600010244</t>
  </si>
  <si>
    <t>3600010247</t>
  </si>
  <si>
    <t>3600010252</t>
  </si>
  <si>
    <t>3600010255</t>
  </si>
  <si>
    <t>3600010258</t>
  </si>
  <si>
    <t>3600010260</t>
  </si>
  <si>
    <t>3600010262</t>
  </si>
  <si>
    <t>3600010265</t>
  </si>
  <si>
    <t>3600010354</t>
  </si>
  <si>
    <t>3600010359</t>
  </si>
  <si>
    <t>3600010365</t>
  </si>
  <si>
    <t>3600010574</t>
  </si>
  <si>
    <t>3600010581</t>
  </si>
  <si>
    <t>3600010585</t>
  </si>
  <si>
    <t>3600010999</t>
  </si>
  <si>
    <t>3600011008</t>
  </si>
  <si>
    <t>3600011011</t>
  </si>
  <si>
    <t>3600011012</t>
  </si>
  <si>
    <t>3600011014</t>
  </si>
  <si>
    <t>3600011015</t>
  </si>
  <si>
    <t>3600011016</t>
  </si>
  <si>
    <t>3600011020</t>
  </si>
  <si>
    <t>3600011021</t>
  </si>
  <si>
    <t>3600011512</t>
  </si>
  <si>
    <t>3600011515</t>
  </si>
  <si>
    <t>3600011649</t>
  </si>
  <si>
    <t>3600011654</t>
  </si>
  <si>
    <t>3600011793</t>
  </si>
  <si>
    <t>3600011798</t>
  </si>
  <si>
    <t>3600012167</t>
  </si>
  <si>
    <t>27/11/2565</t>
  </si>
  <si>
    <t>3600012171</t>
  </si>
  <si>
    <t>3600012174</t>
  </si>
  <si>
    <t>3900001255</t>
  </si>
  <si>
    <t>3900001622</t>
  </si>
  <si>
    <t>28/11/2565</t>
  </si>
  <si>
    <t>ค่าตอบแทนเสี่ยงภัย-สสอ.ลาดบัวหลวง ก.พ.65 (งบกลาง)</t>
  </si>
  <si>
    <t>ค่าตอบแทนเสี่ยงภัย-สสอ.บางปะอิน ธ.ค.64 (งบกลาง)</t>
  </si>
  <si>
    <t>ค่าตอบแทนเสี่ยงภัย ธ.ค.64-สสอ.เสนา (งบกลาง)</t>
  </si>
  <si>
    <t>ค่าตอบแทนเสี่ยงภัย ม.ค.65-สสอ.เสนา (งบกลาง)</t>
  </si>
  <si>
    <t>ค่าตอบแทนเสี่ยงภัย ก.พ.65-สสอ.เสนา (งบกลาง)</t>
  </si>
  <si>
    <t>ค่าตอบแทนเสี่ยงภัย มี.ค.65-สสอ.เสนา (งบกลาง)</t>
  </si>
  <si>
    <t>ค่าตอบแทนเสี่ยงภัย เม.ย.65-สสอ.เสนา (งบกลาง)</t>
  </si>
  <si>
    <t>ค่าตอบแทนเสี่ยงภัย พ.ค.65-สสอ.เสนา (งบกลาง)</t>
  </si>
  <si>
    <t>ค่าตอบแทนเสี่ยงภัย มิ.ย.65-สสอ.เสนา (งบกลาง)</t>
  </si>
  <si>
    <t>ค่าตอบแทนเสี่ยงภัย พ.ย.64-สสอ.มหาราช (งบกลาง)</t>
  </si>
  <si>
    <t>ค่าตอบแทนเสี่ยงภัย ธ.ค.64-สสอ.มหาราช (งบกลาง)</t>
  </si>
  <si>
    <t>ค่าตอบแทนเสี่ยงภัย ม.ค.65-สสอ.มหาราช (งบกลาง)</t>
  </si>
  <si>
    <t>ค่าตอบแทนเสี่ยงภัย ก.พ.65-สสอ.มหาราช (งบกลาง)</t>
  </si>
  <si>
    <t>ค่าตอบแทนเสี่ยงภัย มี.ค.65-สสอ.มหาราช (งบกลาง)</t>
  </si>
  <si>
    <t>ค่าตอบแทนเสี่ยงภัย เม.ย.65-สสอ.มหาราช (งบกลาง)</t>
  </si>
  <si>
    <t>ค่าตอบแทนเสี่ยงภัย พ.ค.65-สสอ.มหาราช (งบกลาง)</t>
  </si>
  <si>
    <t>ค่าตอบแทนเสี่ยงภัย มิ.ย.65-สสอ.มหาราช (งบกลาง)</t>
  </si>
  <si>
    <t>ค่าตอบแทนเสี่ยงภัย ก.พ.65-สสอ.นครหลวง (งบกลาง)</t>
  </si>
  <si>
    <t>ค่าตอบแทนเสี่ยงภัย มี.ค.65-สสอ.นครหลวง (งบกลาง)</t>
  </si>
  <si>
    <t>ค่าตอบแทนเสี่ยงภัย เม.ย.65-สสอ.นครหลวง (งบกลาง)</t>
  </si>
  <si>
    <t>ค่าตอบแทนเสี่ยงภัย มิ.ย.65-สสอ.นครหลวง (งบกลาง)</t>
  </si>
  <si>
    <t>ค่าตอบแทนเสี่ยงภัย พ.ค.65-สสอ.นครหลวง (งบกลาง)</t>
  </si>
  <si>
    <t>ค่าตอบแทนเสี่ยงภัย ม.ค.65-สสอ.บางปะอิน (งบกลาง)</t>
  </si>
  <si>
    <t>ค่าตอบแทนเสี่ยงภัย ก.พ.65-สสอ.บางปะอิน (งบกลาง)</t>
  </si>
  <si>
    <t>ค่าตอบแทนเสี่ยงภัย มี.ค.65-สสอ.บางปะอิน (งบกลาง)</t>
  </si>
  <si>
    <t>ค่าตอบแทนเสี่ยงภัย เม.ย.65-สสอ.บางปะอิน (งบกลาง)</t>
  </si>
  <si>
    <t>ค่าตอบแทนเสี่ยงภัย พ.ค.65-สสอ.บางปะอิน (งบกลาง)</t>
  </si>
  <si>
    <t>ค่าตอบแทนเสี่ยงภัย มิ.ย.65-สสอ.บางปะอิน (งบกลาง)</t>
  </si>
  <si>
    <t>ค่าตอบแทนเสี่ยงภัย ธ.ค.64-รพ.อุทัย (งบกลาง)</t>
  </si>
  <si>
    <t>ค่าตอบแทนเสี่ยงภัย ม.ค.65-รพ.อุทัย (งบกลาง)</t>
  </si>
  <si>
    <t>ค่าตอบแทนเสี่ยงภัย ธ.ค.64-รพ.ท่าเรือ (งบกลาง)</t>
  </si>
  <si>
    <t>ค่าตอบแทนเสี่ยงภัย ม.ค.65-รพ.ท่าเรือ (งบกลาง)</t>
  </si>
  <si>
    <t>ค่าตอบแทนเสี่ยงภัย ธ.ค.64-รพ.เสนา (งบกลาง)</t>
  </si>
  <si>
    <t>ค่าตอบแทนเสี่ยงภัย ม.ค.65-รพ.เสนา (งบกลาง)</t>
  </si>
  <si>
    <t>ค่าตอบแทนเสี่ยงภัย ก.พ.65-รพ.เสนา (งบกลาง)</t>
  </si>
  <si>
    <t>ค่าตอบแทนเสี่ยงภัย มี.ค.65-สสอ.ลาดบัวหลวง (งบกลาง)</t>
  </si>
  <si>
    <t>ค่าตอบแทนเสี่ยงภัย เม.ย.65-สสอ.ลาดบัวหลวง (งบกลาง)</t>
  </si>
  <si>
    <t>ค่าตอบแทนเสี่ยงภัย พ.ค.65-สสอ.ลาดบัวหลวง (งบกลาง)</t>
  </si>
  <si>
    <t>ค่าตอบแทนเสี่ยงภัย ธ.ค.64-รพ.สมเด็จฯ (งบกลาง)</t>
  </si>
  <si>
    <t>ค่าตอบแทนเสี่ยงภัย ม.ค.65-รพ.สมเด็จฯ (งบกลาง)</t>
  </si>
  <si>
    <t>ค่าตอบแทนเสี่ยงภัย ก.พ.65-รพ.สมเด็จฯ (งบกลาง)</t>
  </si>
  <si>
    <t>ค่าตอบแทนเสี่ยงภัย .ค.65-รพ.อยุธยา (งบกลาง)</t>
  </si>
  <si>
    <t>ค่าตอบแทนเสี่ยงภัย ก.พ.65- เทศบาล (งบกลาง)</t>
  </si>
  <si>
    <t>ค่าตอบแทนเสี่ยงภัย มี.ค.65- เทศบาล (งบกลาง)</t>
  </si>
  <si>
    <t>ค่าตอบแทนเสี่ยงภัย ธ.ค.64-รพ.บางว้าย (งบกลาง)</t>
  </si>
  <si>
    <t>ค่าตอบแทนเสี่ยงภัย พ.ค.65-รพ.ลาดบัวหลวง (งบกลาง)</t>
  </si>
  <si>
    <t>ค่าตอบแทนเสี่ยงภัย ธ.ค.64-รพ.บางปะอิน (งบกลาง)</t>
  </si>
  <si>
    <t>ค่าตอบแทนเสี่ยงภัย ม.ค.65-รพ.บางปะอิน (งบกลาง)</t>
  </si>
  <si>
    <t>ค่าตอบแทนเสี่ยงภัย ม.ค.65-รพ.บางซ้าย (งบกลาง)</t>
  </si>
  <si>
    <t>ค่าตอบแทนเสี่ยงภัย ก.พ.65-รพ.บางซ้าย (งบกลาง)</t>
  </si>
  <si>
    <t>ยอดเงิน</t>
  </si>
  <si>
    <t>ค่าตอบแทนฉีดวัคซีน  (เงินกู้)</t>
  </si>
  <si>
    <t>ค่าตอบแทนฉีดวัคซีน ธ.ค.64-รพ.วังน้อย (เงินกู้)</t>
  </si>
  <si>
    <t>ค่าตอบแทนฉีดวัคซีน ธ.ค.64-รพ.ท่าเรือ (เงินกู้)</t>
  </si>
  <si>
    <t>ค่าตอบแทนฉีดวัคซีน ธ.ค.64-รพ.บางปะหัน (เงินกู้)</t>
  </si>
  <si>
    <t>ค่าตอบแทนฉีดวัคซีน ธ.ค.64-รพ.ภาชี (เงินกู้)</t>
  </si>
  <si>
    <t>ค่าตอบแทนฉีดวัคซีน ธ.ค.64-รพ.ผักไห่ (เงินกู้)</t>
  </si>
  <si>
    <t>ค่าตอบแทนฉีดวัคซีน ธ.ค.64-รพ.บ้านแพรก (เงินกู้)</t>
  </si>
  <si>
    <t>ค่าตอบแทนฉีดวัคซีน ธ.ค.64-รพ.มหาราช (เงินกู้)</t>
  </si>
  <si>
    <t>ค่าตอบแทนฉีดวัคซีน ธ.ค.64-รพ.บางปะอิน (เงินกู้)</t>
  </si>
  <si>
    <t>ค่าตอบแทนฉีดวัคซีน ธ.ค.64-รพ.ลาดบัวหลวง (เงินกู้)</t>
  </si>
  <si>
    <t>ค่าตอบแทนเสี่ยงภัย ม.ค.65-เทศบาล (เงินกู้)</t>
  </si>
  <si>
    <t>ค่าตอบแทนเสี่ยงภัย ก.พ.65-เทศบาล (เงินกู้)</t>
  </si>
  <si>
    <t>ค่าตอบแทนเสี่ยงภัย มี.ค.65-เทศบาล (เงินกู้)</t>
  </si>
  <si>
    <t>ค่าตอบแทนเสี่ยงภัย เม.ย.65-เทศบาล (เงินกู้)</t>
  </si>
  <si>
    <t>ค่าตอบแทนเสี่ยงภัย พ.ค.65-เทศบาล (เงินกู้)</t>
  </si>
  <si>
    <t>ค่าตอบแทนเสี่ยงภัย มิ.ย.65-เทศบาล (เงินกู้)</t>
  </si>
  <si>
    <t>ค่าตอบแทนเสี่ยงภัย ธ.ค.64-รพ.บางซ้าย (เงินกู้)</t>
  </si>
  <si>
    <t>ค่าตอบแทนเสี่ยงภัย พ.ย.64-รพ.ลาดบัวหลวง (เงินกู้)</t>
  </si>
  <si>
    <t>ค่าตอบแทนเสี่ยงภัย ม.ค.65-สสอ.บางบาล (เงินกู้)</t>
  </si>
  <si>
    <t>ค่าตอบแทนเสี่ยงภัย ก.พ.65-สสอ.บางบาล (เงินกู้)</t>
  </si>
  <si>
    <t>ค่าตอบแทนเสี่ยงภัย มี.ค.65-สสอ.บางบาล (เงินกู้)</t>
  </si>
  <si>
    <t>ค่าตอบแทนเสี่ยงภัย เม.ย.65-สสอ.บางบาล (เงินกู้)</t>
  </si>
  <si>
    <t>ค่าตอบแทนเสี่ยงภัย พ.ค.65-สสอ.บางบาล (เงินกู้)</t>
  </si>
  <si>
    <t>ค่าตอบแทนเสี่ยงภัย มิ.ย.65-สสอ.บางบาล (เงินกู้)</t>
  </si>
  <si>
    <t>ค่าตอบแทนเสี่ยงภัย ธ.ค.64-สสอ.บางปะหัน (เงินกู้)</t>
  </si>
  <si>
    <t>ค่าตอบแทนเสี่ยงภัย ม.ค.65-สสอ.บางปะหัน (เงินกู้)</t>
  </si>
  <si>
    <t>ค่าตอบแทนเสี่ยงภัย ก.พ.65-สสอ.บางปะหัน (เงินกู้)</t>
  </si>
  <si>
    <t>ค่าตอบแทนเสี่ยงภัย มี.ค.65-สสอ.บางปะหัน (เงินกู้)</t>
  </si>
  <si>
    <t>ค่าตอบแทนเสี่ยงภัย เม.ย.65-สสอ.บางปะหัน (เงินกู้)</t>
  </si>
  <si>
    <t>ค่าตอบแทนเสี่ยงภัย พ.ค.65-สสอ.บางปะหัน (เงินกู้)</t>
  </si>
  <si>
    <t>ค่าตอบแทนเสี่ยงภัย มิ.ย.65-สสอ.บางปะหัน (เงินกู้)</t>
  </si>
  <si>
    <t>ค่าตอบแทนเสี่ยงภัย ธ.ค.64-สสอ.ภาชี (เงินกู้)</t>
  </si>
  <si>
    <t>ค่าตอบแทนเสี่ยงภัย ม.ค.65-สสอ.ภาชี (เงินกู้)</t>
  </si>
  <si>
    <t>ค่าตอบแทนเสี่ยงภัย ก.พ.65-สสอ.ภาชี (เงินกู้)</t>
  </si>
  <si>
    <t>ค่าตอบแทนเสี่ยงภัย มี.ค.65-สสอ.ภาชี (เงินกู้)</t>
  </si>
  <si>
    <t>ค่าตอบแทนเสี่ยงภัย เม.ย.65-สสอ.ภาชี (เงินกู้)</t>
  </si>
  <si>
    <t>ค่าตอบแทนเสี่ยงภัย พ.ค.65-สสอ.ภาชี (เงินกู้)</t>
  </si>
  <si>
    <t>ค่าตอบแทนเสี่ยงภัย มิ.ย.65-สสอ.ภาชี (เงินกู้)</t>
  </si>
  <si>
    <t>ค่าตอบแทนเสี่ยงภัย ธ.ค.64-สสอ.ท่าเรือ (เงินกู้)</t>
  </si>
  <si>
    <t>ค่าตอบแทนเสี่ยงภัย ม.ค.65-สสอ.ท่าเรือ (เงินกู้)</t>
  </si>
  <si>
    <t>ค่าตอบแทนเสี่ยงภัย ก.พ.65-สสอ.ท่าเรือ (เงินกู้)</t>
  </si>
  <si>
    <t>ค่าตอบแทนเสี่ยงภัย ม.ค.65-รพ.บางปะอิน (เงินกู้)</t>
  </si>
  <si>
    <t>ค่าตอบแทนเสี่ยงภัย ก.พ.65-รพ.บางปะอิน (เงินกู้)</t>
  </si>
  <si>
    <t>ค่าตอบแทนเสี่ยงภัย มี.ค.65-รพ.บางปะอิน (เงินกู้)</t>
  </si>
  <si>
    <t>ค่าตอบแทนเสี่ยงภัย เม.ย.65-รพ.บางปะอิน (เงินกู้)</t>
  </si>
  <si>
    <t>ค่าตอบแทนเสี่ยงภัย พ.ค.65-รพ.บางปะอิน (เงินกู้)</t>
  </si>
  <si>
    <t>ค่าตอบแทนเสี่ยงภัย มิ.ย.65-รพ.บางปะอิน (เงินกู้)</t>
  </si>
  <si>
    <t>ค่าตอบแทนเสี่ยงภัย ธ.ค.64-รพ.ลาดบัวหลวง (เงินกู้)</t>
  </si>
  <si>
    <t>ค่าตอบแทนเสี่ยงภัย ม.ค.65-รพ.ลาดบัวหลวง (เงินกู้)</t>
  </si>
  <si>
    <t>ค่าตอบแทนเสี่ยงภัย ก.พ.65-รพ.ลาดบัวหลวง (เงินกู้)</t>
  </si>
  <si>
    <t>ค่าตอบแทนเสี่ยงภัย มี.ค.65-รพ.ลาดบัวหลวง (เงินกู้)</t>
  </si>
  <si>
    <t>ค่าตอบแทนเสี่ยงภัย เม.ย.65-รพ.ลาดบัวหลวง (เงินกู้)</t>
  </si>
  <si>
    <t>ค่าตอบแทนเสี่ยงภัย พ.ค.65-รพ.ลาดบัวหลวง (เงินกู้)</t>
  </si>
  <si>
    <t>ค่าตอบแทนเสี่ยงภัย มิ.ย.65-รพ.ลาดบัวหลวง (เงินกู้)</t>
  </si>
  <si>
    <t>ค่าตอบแทนเสี่ยงภัย ม.ค.65-รพ.บางซ้าย (เงินกู้)</t>
  </si>
  <si>
    <t>ค่าตอบแทนเสี่ยงภัย ก.พ.65-รพ.บางซ้าย (เงินกู้)</t>
  </si>
  <si>
    <t>ค่าตอบแทนเสี่ยงภัย มี.ค.65-รพ.บางซ้าย (เงินกู้)</t>
  </si>
  <si>
    <t>ค่าตอบแทนเสี่ยงภัย เม.ย.65-รพ.บางซ้าย (เงินกู้)</t>
  </si>
  <si>
    <t>ค่าตอบแทนเสี่ยงภัย พ.ค.65-รพ.บางซ้าย (เงินกู้)</t>
  </si>
  <si>
    <t>ค่าตอบแทนเสี่ยงภัย มิ.ย.65-รพ.บางซ้าย (เงินกู้)</t>
  </si>
  <si>
    <t>3600012624</t>
  </si>
  <si>
    <t>3600012625</t>
  </si>
  <si>
    <t>3600012626</t>
  </si>
  <si>
    <t>3600012628</t>
  </si>
  <si>
    <t>3600012629</t>
  </si>
  <si>
    <t>3600012770</t>
  </si>
  <si>
    <t>3600012783</t>
  </si>
  <si>
    <t>29/11/2565</t>
  </si>
  <si>
    <t>3700009549</t>
  </si>
  <si>
    <t>3700009563</t>
  </si>
  <si>
    <t>3700009564</t>
  </si>
  <si>
    <t>3700009572</t>
  </si>
  <si>
    <t>3700009575</t>
  </si>
  <si>
    <t>3700009580</t>
  </si>
  <si>
    <t>3700009584</t>
  </si>
  <si>
    <t>3700009591</t>
  </si>
  <si>
    <t>3700009594</t>
  </si>
  <si>
    <t>3700009604</t>
  </si>
  <si>
    <t>3700009610</t>
  </si>
  <si>
    <t>3700009653</t>
  </si>
  <si>
    <t>3700009663</t>
  </si>
  <si>
    <t>3700009668</t>
  </si>
  <si>
    <t>3700010155</t>
  </si>
  <si>
    <t>3700010169</t>
  </si>
  <si>
    <t>3700010172</t>
  </si>
  <si>
    <t>3700010176</t>
  </si>
  <si>
    <t>3700010181</t>
  </si>
  <si>
    <t>3700010185</t>
  </si>
  <si>
    <t>3700010186</t>
  </si>
  <si>
    <t>3700010189</t>
  </si>
  <si>
    <t>3700010191</t>
  </si>
  <si>
    <t>3700010198</t>
  </si>
  <si>
    <t>3900001671</t>
  </si>
  <si>
    <t>3900001672</t>
  </si>
  <si>
    <t>3700009532</t>
  </si>
  <si>
    <t>3700009547</t>
  </si>
  <si>
    <t>ค่าตอบแทนเสี่ยงภัย รพ.บางปะอิน ม.ค.65  (งบกลาง)</t>
  </si>
  <si>
    <t>ค่าตอบแทนเสี่ยงภัย รพ.ลาดบัวหลวง ธ.ค.64 (งบกลาง)</t>
  </si>
  <si>
    <t>ค่าตอบแทนเสี่ยงภัย รพ.ลาดบัวหลวง ม.ค.65 (งบกลาง)</t>
  </si>
  <si>
    <t>ค่าตอบแทนเสี่ยงภัย สสอ.บางปะหัน(งบกลาง)</t>
  </si>
  <si>
    <t>ค่าตอบแทนเสี่ยงภัย  (งบกลาง)</t>
  </si>
  <si>
    <t>พ.ค.+มิ.ย.65</t>
  </si>
  <si>
    <t>รพ.ลาดบัวหลวง</t>
  </si>
  <si>
    <t>สสอ.บางปะหัน</t>
  </si>
  <si>
    <t>สสอ.บางปะหัน ม.ค.65</t>
  </si>
  <si>
    <t>สสอ.บางปะหัน ธ.ค.64</t>
  </si>
  <si>
    <t>สสอ.บางปะหัน พ.ย.64</t>
  </si>
  <si>
    <t>สสอ.บางปะหัน ก.พ.65</t>
  </si>
  <si>
    <t>สสอ.บางปะหัน เม.ย.65</t>
  </si>
  <si>
    <t>สสอ.บางปะหัน มิ.ย.65</t>
  </si>
  <si>
    <t>รพ.ผักไห่ มี.ค.65</t>
  </si>
  <si>
    <t>สสอ.บางปะอิน พ.ย.65</t>
  </si>
  <si>
    <t>เบิกจ่าย</t>
  </si>
  <si>
    <t>สสอ.อยุธยา</t>
  </si>
  <si>
    <t>สสอ.ท่าเรือ</t>
  </si>
  <si>
    <t>สสอ.บางบาล</t>
  </si>
  <si>
    <t>สสอ.บางปะอิน</t>
  </si>
  <si>
    <t>สสอ.ผักไห่</t>
  </si>
  <si>
    <t>สสอ.ภาชี</t>
  </si>
  <si>
    <t>สสอ.วังน้อย</t>
  </si>
  <si>
    <t>สสอ.เสนา</t>
  </si>
  <si>
    <t>สสอ.อุทัย</t>
  </si>
  <si>
    <t>สสอ.บางไทร</t>
  </si>
  <si>
    <t>สสอ.บางซ้าย</t>
  </si>
  <si>
    <t>สสอ.นครหลวง</t>
  </si>
  <si>
    <t>สสอ.ลาดบัวหลง</t>
  </si>
  <si>
    <t>สสอ.บ้านแพรก</t>
  </si>
  <si>
    <t>ค่าน้ำปะปา</t>
  </si>
  <si>
    <t>No./64</t>
  </si>
  <si>
    <t>ค่าไฟฟ้า</t>
  </si>
  <si>
    <t>ค่าไปราณีย์</t>
  </si>
  <si>
    <t>ค่าโทรศัพท์</t>
  </si>
  <si>
    <t xml:space="preserve">ค่า Internet </t>
  </si>
  <si>
    <t>ค่าวัสดุ/น้ำมัน</t>
  </si>
  <si>
    <t>ค่าจ้างเหมา</t>
  </si>
  <si>
    <t>คชจ.ประชุม</t>
  </si>
  <si>
    <t>คชจ.ไปราชการ</t>
  </si>
  <si>
    <t>ค่าตอบแทน</t>
  </si>
  <si>
    <t>ค่าใช้สอยอื่น</t>
  </si>
  <si>
    <t>PO</t>
  </si>
  <si>
    <t>อุทัย/มหาราช</t>
  </si>
  <si>
    <t>13/66</t>
  </si>
  <si>
    <t>25/66</t>
  </si>
  <si>
    <t>9/66</t>
  </si>
  <si>
    <t>11/66</t>
  </si>
  <si>
    <t>16/66</t>
  </si>
  <si>
    <t>12/66</t>
  </si>
  <si>
    <t>14/66</t>
  </si>
  <si>
    <t>18/66</t>
  </si>
  <si>
    <t>17/66</t>
  </si>
  <si>
    <t>19/66</t>
  </si>
  <si>
    <t>15/66</t>
  </si>
  <si>
    <t>6/66</t>
  </si>
  <si>
    <t>8/66</t>
  </si>
  <si>
    <t>7/66</t>
  </si>
  <si>
    <t>20/66</t>
  </si>
  <si>
    <t>23/66</t>
  </si>
  <si>
    <t>21/66</t>
  </si>
  <si>
    <t>5/66</t>
  </si>
  <si>
    <t>คชจ.ในราชการ</t>
  </si>
  <si>
    <t xml:space="preserve">ทิพวรรณ มั่ง </t>
  </si>
  <si>
    <t>ยุทธ์</t>
  </si>
  <si>
    <t>ค่าสาธรณูปโภค</t>
  </si>
  <si>
    <r>
      <t xml:space="preserve">กิจกรรม : สนับสนุนการสร้างเสริมสุขภาพ เฝ้าระวัง ป้องกัน ควบคุมโรค และภัยสุขภาพ  </t>
    </r>
    <r>
      <rPr>
        <sz val="16"/>
        <color rgb="FFFF0000"/>
        <rFont val="TH SarabunPSK"/>
        <family val="2"/>
      </rPr>
      <t xml:space="preserve">(ค่าตอบแทนประชุมคกก. พระราชบัญญัตโรคติดต่อ)  </t>
    </r>
    <r>
      <rPr>
        <sz val="16"/>
        <rFont val="TH SarabunPSK"/>
        <family val="2"/>
      </rPr>
      <t xml:space="preserve">     </t>
    </r>
  </si>
  <si>
    <r>
      <t>กิจกรรมค่าใช้จ่ายบุคลากรในการพัฒนาระบบบริหารจัดการทรัพยกรด้านสุขภาพ (ฉ.11) งวดที่ 1</t>
    </r>
    <r>
      <rPr>
        <sz val="16"/>
        <color rgb="FFFF0000"/>
        <rFont val="TH SarabunPSK"/>
        <family val="2"/>
      </rPr>
      <t xml:space="preserve"> ญาสุมินทร์</t>
    </r>
  </si>
  <si>
    <t>12. สธ.0206.02/ว427-9ธ.ค.65</t>
  </si>
  <si>
    <r>
      <t>ค่าตอบแทนเสี่ยงภัยเฉพาะกลุ่มบุคลากรวิชาชีพและกลุ่มเจ้าพนักงานและเจ้าหน้าที่เทคนิดอื่นๆ เดือน พ.ย.64-มิ.ย.66 (เงินกู้)</t>
    </r>
    <r>
      <rPr>
        <sz val="16"/>
        <color rgb="FFFF0000"/>
        <rFont val="TH SarabunPSK"/>
        <family val="2"/>
      </rPr>
      <t xml:space="preserve"> คืนเงินเหลือจ่าย</t>
    </r>
  </si>
  <si>
    <r>
      <t xml:space="preserve">ค่าตอบแทนบุคลากานอกเหนือภารกิจปกติสำหรับเจ้าหน้าที่ที่ปฏิบัติงานให้บริการฉีดวัคฉีดวัคซีนโรคโควิค-19 (เงินกู้) </t>
    </r>
    <r>
      <rPr>
        <sz val="16"/>
        <color rgb="FFFF0000"/>
        <rFont val="TH SarabunPSK"/>
        <family val="2"/>
      </rPr>
      <t>(เงินคืน)</t>
    </r>
  </si>
  <si>
    <t>11. ศธ 0206.03/ ว415-29 พ.ย.65</t>
  </si>
  <si>
    <t>21002661262000000</t>
  </si>
  <si>
    <t>ต่าตอบแทน ฉ11</t>
  </si>
  <si>
    <t>ชนสูตรพลิกศพ</t>
  </si>
  <si>
    <t>งบเงินกู้</t>
  </si>
  <si>
    <t>เอกสารรอเบิก</t>
  </si>
  <si>
    <t>13.สธ. 0206.03/ว407-25พ.ย.65</t>
  </si>
  <si>
    <t>14. สธ 0206.03/ว412-27 พ.ย.65</t>
  </si>
  <si>
    <t>จันทรา</t>
  </si>
  <si>
    <t>ยาเสพติด/NCD</t>
  </si>
  <si>
    <t>งบเงินกู้ เงินสำรองจ่ายปี 65</t>
  </si>
  <si>
    <t>21002E20009002000000</t>
  </si>
  <si>
    <t>21002E20010002000000</t>
  </si>
  <si>
    <t>02/12/2565</t>
  </si>
  <si>
    <t>07/12/2565</t>
  </si>
  <si>
    <t>22/12/2565</t>
  </si>
  <si>
    <t>11/11/2565</t>
  </si>
  <si>
    <t>ค่ารักษาพยาบาลแก่กลุ่มผู้ไร้สิทธิการรักษา</t>
  </si>
  <si>
    <t>ค่ารักษาพยาบาลแก่กลุ่มผู้ไร้สิทธิการรักษา - 1/10/64-30/6/65</t>
  </si>
  <si>
    <t>สธ.0206.02/ว424-6ธ.ค65</t>
  </si>
  <si>
    <t>สธ.0206.02/ว440-23ธ.ค.65</t>
  </si>
  <si>
    <t>ค่ารักษาพยาบาลแก่กลุ่มผู้ไร้สิทธิการรักษา - 1/5/65-30/6/65</t>
  </si>
  <si>
    <t>ค่าฉีดวัคซีนกลุ่มบุคคลที่มีปัญหาสถานะและสิทธิรวมั้งที่ไม่ใช่ ปชช.ไทย 40 บาท</t>
  </si>
  <si>
    <t>สธ.0206-02/ว395-11พ.ย.65</t>
  </si>
  <si>
    <t>ท่าเรือ,รพช.</t>
  </si>
  <si>
    <t>บางบาล,รพช.</t>
  </si>
  <si>
    <t>บางปะหัน,รพช.</t>
  </si>
  <si>
    <t>บางปะอิน,รพช.</t>
  </si>
  <si>
    <t>ภาชี,รพช.</t>
  </si>
  <si>
    <t>ลาดบัวหลวง,รพช.</t>
  </si>
  <si>
    <t>วังน้อย,รพช.</t>
  </si>
  <si>
    <t>อุทัย,รพช.</t>
  </si>
  <si>
    <t>ให้บริการวันที่ 1/10/65-31/03/65</t>
  </si>
  <si>
    <t>ให้บริการวันที่ 1/4/65-30/06/65</t>
  </si>
  <si>
    <r>
      <t xml:space="preserve">ค่ารักษาพยาบาลแก่กลุ่มผู้ไร้สิทธิการรักษา - 1/5/65-30/6/66 </t>
    </r>
    <r>
      <rPr>
        <sz val="16"/>
        <color rgb="FFFF0000"/>
        <rFont val="TH SarabunPSK"/>
        <family val="2"/>
      </rPr>
      <t>(คืน)</t>
    </r>
  </si>
  <si>
    <t xml:space="preserve">รวม </t>
  </si>
  <si>
    <t>รายงานสรุปการใช้จ่ายงบประมาณกับGF (สำนักปลัดกระทรวงสาธารณสุข) งบเงินกู้ เงินสำรองจ่ายปี 65</t>
  </si>
  <si>
    <t>บางซ้าย,รพช.</t>
  </si>
  <si>
    <t>สมเด็จพระสังฆราช(นครหลวง),รพช.</t>
  </si>
  <si>
    <t>รพ.ท่าเรือ</t>
  </si>
  <si>
    <t>รพ.สมเด็จฯ</t>
  </si>
  <si>
    <t>รพ.บางไทร</t>
  </si>
  <si>
    <t>รพ.บางบาล</t>
  </si>
  <si>
    <t>รพ.บางปะอิน</t>
  </si>
  <si>
    <t>รพ.บางปะหัน</t>
  </si>
  <si>
    <t>รพ.ผักไห่</t>
  </si>
  <si>
    <t>รพ.ภาชี</t>
  </si>
  <si>
    <t>ราพ.ลาดบัวหลวง</t>
  </si>
  <si>
    <t>รพ.วังน้อย</t>
  </si>
  <si>
    <t>รพ.บางซ้าย</t>
  </si>
  <si>
    <t>รพ.อุทัย</t>
  </si>
  <si>
    <t>รพ.มหาราช</t>
  </si>
  <si>
    <t>รพ.บ้านแพรก</t>
  </si>
  <si>
    <t>คลิกนิคชุมชนสามเรือน</t>
  </si>
  <si>
    <t>สสอ.ลาดบัวหลวง</t>
  </si>
  <si>
    <t>สสอ.มหาราช</t>
  </si>
  <si>
    <t>รายละเอียดการจัดสรร/การเบิกจ่าย</t>
  </si>
  <si>
    <t xml:space="preserve">รอบ 1 </t>
  </si>
  <si>
    <t>รอบ 2</t>
  </si>
  <si>
    <t>รวมทั้งหมด</t>
  </si>
  <si>
    <t>ข้อมูลแผนงาน/ผลผลิต/โครงการ/กิจกรรมหลักปีงบประมาณ พ.ศ.2566</t>
  </si>
  <si>
    <t>หน่วยงาน 2102 : สำนักงานปลัดกระทรวงสาธารณสุข</t>
  </si>
  <si>
    <t xml:space="preserve">รหัสผลผลิต/กิจกรรมหลัก </t>
  </si>
  <si>
    <t>คำอธิบาย</t>
  </si>
  <si>
    <t>แผนงานบูรณาการขับเคลื่อนการแก้ไขปัญหาจังหวัดชายแดนภาคใต้</t>
  </si>
  <si>
    <t>2100204003600xxx0000</t>
  </si>
  <si>
    <t>โครงการพัฒนาตามศักยภาพของพื้นที่</t>
  </si>
  <si>
    <t>21002663961000000</t>
  </si>
  <si>
    <t>พัฒนาตามศักยภาพของพื้นที่และคุณภาพชีวิตประชาชนในจังหวัดชายแดนใต้แบบบูรณาการ</t>
  </si>
  <si>
    <t>2100204003700xxx0000</t>
  </si>
  <si>
    <t>โครงการพัฒนาสังคมพหุวัฒนธรรมที่เข้มแข็งและเสริมสร้างการมีส่วนร่วมของทุกภาคส่วน</t>
  </si>
  <si>
    <t>21002660011200000</t>
  </si>
  <si>
    <t>การพัฒนาสังคมพหุวัฒนธรรมที่เข้มแข็ง เสริมสร้างการมีส่วนร่วมของทุกภาคส่วน</t>
  </si>
  <si>
    <t>แผนงานยุทธศาสตร์จัดการปัญหาแรงงานต่างด้าวและการค้ามนุษย์</t>
  </si>
  <si>
    <t>2100205000600xxx0000</t>
  </si>
  <si>
    <t>โครงการแก้ไขปัญหาสุขภาพแรงงานข้ามชาติและการค้ามนุษย์</t>
  </si>
  <si>
    <t>21002667569700000</t>
  </si>
  <si>
    <t>พัฒนาหลักประกันสุขภาพสำหรับแรงงานต่างด้าวและเหยื่อจากการค้ามนุษย์</t>
  </si>
  <si>
    <t>2100206000700xxx0000</t>
  </si>
  <si>
    <t>ให้บริการรักษาพยาบาลและฟื้นฟูสภาพผู้ป่วยยาเสพติดในพื้นที่</t>
  </si>
  <si>
    <t>ติดตามดูแล ช่วยเหลือ ผู้ผ่านการบำบัดรักษายาเสพติด</t>
  </si>
  <si>
    <t>2100214000300xxx0000</t>
  </si>
  <si>
    <t>รายการค่าใช้จ่ายบุคลากรภาครัฐ พัฒนาด้านสาธารณสุข และสร้างเสริมสุขภาพเชิงรุก</t>
  </si>
  <si>
    <t>ค่าใช้จ่ายบุคลากรในการพัฒนาระบบบริหารจัดการทรัพยากรด้านสุขภาพ</t>
  </si>
  <si>
    <t>แผนงานบูรณาการเขตพัฒนาพิเศษภาคตะวันออก</t>
  </si>
  <si>
    <t>2100224001400xxx0000</t>
  </si>
  <si>
    <t>โครงการพัฒนาระเบียงเศรษฐกิจภาคตะวันออกแบบบูรณาการ</t>
  </si>
  <si>
    <t>21002669083900000</t>
  </si>
  <si>
    <t>การพัฒนาหน่วยงานด้านสุขภาพเพื่อสนับสนุนเขตพัฒนาพิเศษภาคตะวันออก</t>
  </si>
  <si>
    <t>แผนงานยุทธศาสตร์พัฒนาศักยภาพคนตลอดช่วงชีวิต</t>
  </si>
  <si>
    <t>2100230000400xxx0000</t>
  </si>
  <si>
    <t>การพัฒนาและสร้างเสริมศักยภาพคนไทยกลุ่มวัยสูงอายุ</t>
  </si>
  <si>
    <t>การพัฒนาและสร้างเสริมศักยภาพคนไทยกลุ่มสตรีและเด็กปฐมวัย</t>
  </si>
  <si>
    <t>สร้างเสริมสุขภาพกลุ่มเด็กวัยเรียน (6-14 ปี)</t>
  </si>
  <si>
    <t>ส่งเสริมพัฒนาระบบบริการสร้างเสริมสุขภาพในกลุ่มเด็กวัยรุ่น (15-18 ปี)</t>
  </si>
  <si>
    <t>การพัฒนาและสร้างเสริมศักยภาพคนไทยกลุ่มวัยทำงาน</t>
  </si>
  <si>
    <t xml:space="preserve">แผนงานยุทธศาสตร์เสริมสร้างให้คนมีสุขภาวะที่ดี </t>
  </si>
  <si>
    <t>2100232001600xxx0000</t>
  </si>
  <si>
    <t>โครงการพัฒนาระบบการแพทย์ปฐมภูมิ และเครือข่ายระบบสุขภาพระดับอำเภอ</t>
  </si>
  <si>
    <t>พัฒนาระบบบริการปฐมภูมิให้มีคุณภาพมาตรฐาน และพัฒนาคุณภาพชีวิตระดับอำเภอ (DHB)</t>
  </si>
  <si>
    <t>2100232001700xxx0000</t>
  </si>
  <si>
    <t>โครงการพัฒนาระบบบริการการแพทย์ฉุกเฉินครบวงจรและระบบการส่งต่อ</t>
  </si>
  <si>
    <t>21002661281900000</t>
  </si>
  <si>
    <t>พัฒนาระบบการบริหารจัดการภาวะฉุกเฉินและภัยสุขภาพ</t>
  </si>
  <si>
    <t>21002669083500000</t>
  </si>
  <si>
    <t>พัฒนาระบบบริการการแพทย์ฉุกเฉินครบวงจรและระบบการส่งต่อ</t>
  </si>
  <si>
    <t>2100232001800xxx0000</t>
  </si>
  <si>
    <t>สนับสนุนการดำเนินงานตามโครงการพระราชดำริและเฉลิมพระเกียรติ</t>
  </si>
  <si>
    <t>2100232001900xxx0000</t>
  </si>
  <si>
    <t>โครงการผลิตและพัฒนากำลังคนด้านสุขภาพสู่ความเป็นมืออาชีพ</t>
  </si>
  <si>
    <t>21002660398300000</t>
  </si>
  <si>
    <t>จัดการเรียนการสอนสำหรับการผลิตแพทย์เพิ่มเพื่อชาวชนบท</t>
  </si>
  <si>
    <t>21002660398400000</t>
  </si>
  <si>
    <t>จัดสรรทุนพัฒนาอาจารย์สำหรับการผลิตแพทย์เพิ่มเพื่อชาวชนบท</t>
  </si>
  <si>
    <t>21002669251000000</t>
  </si>
  <si>
    <t>พัฒนาบุคลากรด้านสุขภาพสู่ความเป็นมืออาชีพเพื่อรองรับระบบบริการ</t>
  </si>
  <si>
    <t>2100232002000xxx0000</t>
  </si>
  <si>
    <t>21002660001800000</t>
  </si>
  <si>
    <t>คัดกรอง เฝ้าระวัง ป้องกันควบคุมโรคพยาธิใบไม้ตับมะเร็งท่อน้ำดี ภาคตะวันออกเฉียงเหนือ</t>
  </si>
  <si>
    <t>21002660010900000</t>
  </si>
  <si>
    <t>เครือข่ายคลินิกโรคปอดอุดกั้นเรื้อรัง</t>
  </si>
  <si>
    <t>21002660011000000</t>
  </si>
  <si>
    <t>รูปแบบการขยายการเข้าถึงการคัดกรองโรคมะเร็งและโรคหัวใจด้วยเครื่องมือพิเศษในรูปแบบการร่วมจ่ายของประชาชน</t>
  </si>
  <si>
    <t>21002660011100000</t>
  </si>
  <si>
    <t>พัฒนาระบบทันตกรรมปฐมภูมิมาตรฐาน</t>
  </si>
  <si>
    <t>21002660397400000</t>
  </si>
  <si>
    <t>พัฒนาระบบบริการสุขภาพเขตพื้นที่ชายแดน พื้นที่ทุรกันดาร พื้นที่สูง และพื้นที่เกาะ</t>
  </si>
  <si>
    <t>ให้บริการสุขภาพแก่กลุ่มเป้าหมายเฉพาะนอกระบบหลักประกันสุขภาพ</t>
  </si>
  <si>
    <t>21002662758100000</t>
  </si>
  <si>
    <t>พัฒนาระบบบริการสุขภาพทุกระดับ ตาม Service Plan</t>
  </si>
  <si>
    <t>21002666170700000</t>
  </si>
  <si>
    <t>ส่งเสริม สนับสนุน และพัฒนาระบบบริการสุขภาพชาวต่างชาติ</t>
  </si>
  <si>
    <t>21002668208000000</t>
  </si>
  <si>
    <t>พัฒนาศักยภาพหน่วยบริการเพื่อการจัดบริการคลินิกพิเศษเฉพาะทางนอกเวลาราชการของหน่วยบริการในสังกัดกระทรวงสาธารณสุข</t>
  </si>
  <si>
    <t>21002668444200000</t>
  </si>
  <si>
    <t>สนับสนุนการพัฒนาบุคลากร เพื่อรองรับการจัดบริการสาธารณสุขในเขตสุขภาพ</t>
  </si>
  <si>
    <t>แผนงานพื้นฐานด้านการพัฒนาและเสริมสร้างศักยภาพทรัพยากรมนุษย์</t>
  </si>
  <si>
    <t>2100235000100xxx0000</t>
  </si>
  <si>
    <t>ผลผลิตนโยบาย ยุทธศาสตร์ ระบบบริหารจัดการด้านสุขภาพที่มีคุณภาพและประสิทธิภาพ</t>
  </si>
  <si>
    <t>21002660397800000</t>
  </si>
  <si>
    <t>พัฒนาและเพิ่มศักยภาพบุคลากรทางการแพทย์และสาธารณสุข</t>
  </si>
  <si>
    <t>21002660398900000</t>
  </si>
  <si>
    <t>ตรวจ กำกับ ติดตามและประเมินผลการดำเนินงานตามนโยบายและยุทธศาสตร์</t>
  </si>
  <si>
    <t>21002661262100000</t>
  </si>
  <si>
    <t>พัฒนาวิชาการ งานวิจัย และการจัดการความรู้</t>
  </si>
  <si>
    <t>พัฒนาระบบบริหารจัดการทรัพยากรด้านสุขภาพ</t>
  </si>
  <si>
    <t>21002662759200000</t>
  </si>
  <si>
    <t>จัดทำข้อเสนอและพัฒนานโยบายและยุทธศาสตร์ด้านสุขภาพ</t>
  </si>
  <si>
    <t>21002667158300000</t>
  </si>
  <si>
    <t>พัฒนาระบบข้อมูล เทคโนโลยีสารสนเทศ และการสื่อสารประชาสัมพันธ์เพื่อสนับสนุนระบบบริการสุขภาพ</t>
  </si>
  <si>
    <t>2100235000200xxx0000</t>
  </si>
  <si>
    <t>ผลผลิตประชาชนได้รับการดูแลสุขภาพและมีพฤติกรรมสุขภาพที่ถูกต้อง</t>
  </si>
  <si>
    <t>สนับสนุนการสร้างเสริมสุขภาพ เฝ้าระวัง ป้องกัน ควบคุมโรค และภัยสุขภาพ</t>
  </si>
  <si>
    <t>สนับสนุนและดำเนินการคุ้มครองผู้บริโภคด้านสุขภาพ</t>
  </si>
  <si>
    <t>2100239000500xxx0000</t>
  </si>
  <si>
    <t>สร้างเสริมความเสมอภาคด้านสุขภาพเพื่อรองรับสังคมผู้สูงอายุ</t>
  </si>
  <si>
    <t>แผนงานยุทธศาสตร์สร้างหลักประกันทางสังคม</t>
  </si>
  <si>
    <t>2100241002300xxx0000</t>
  </si>
  <si>
    <t>โครงการลดความเหลื่อมล้ำของ 3 กองทุน</t>
  </si>
  <si>
    <t>21002660009200000</t>
  </si>
  <si>
    <t>จัดทำข้อเสนอเชิงนโยบายเพื่อสร้างความเพียงพอและยั่งยืนของงบประมาณ</t>
  </si>
  <si>
    <t>21002660009300000</t>
  </si>
  <si>
    <t>พัฒนาระบบสารสนเทศด้านการเงินการคลังและหลักประกันสุขภาพ</t>
  </si>
  <si>
    <t>21002668272300000</t>
  </si>
  <si>
    <t>จัดบริการขั้นพื้นฐานด้านสาธารณสุขให้แก่บุคคลที่มีปัญหาสถานะและสิทธิ</t>
  </si>
  <si>
    <t>แผนงานยุทธศาสตร์จัดการมลพิษและสิ่งแวดล้อม</t>
  </si>
  <si>
    <t>2100249001200xxx0000</t>
  </si>
  <si>
    <t>สนับสนุนการบริหารจัดการขยะและสิ่งแวดล้อมในสถานบริการสาธารณสุข สังกัดสำนักงานปลัดกระทรวงสาธารณสุข</t>
  </si>
  <si>
    <t>2100249002100xxx0000</t>
  </si>
  <si>
    <t>โครงการบริหารจัดการสิ่งแวดล้อม (GREEN&amp;CLEAN Hospital)</t>
  </si>
  <si>
    <t>21002660009800000</t>
  </si>
  <si>
    <t>บริหารจัดการสิ่งแวดล้อม (GREEN &amp; CLEAN Hospital)</t>
  </si>
  <si>
    <t>21002669220800000</t>
  </si>
  <si>
    <t>พัฒนาและแก้ไขปัญหาระบบบำบัดน้ำเสียในหน่วยงานสังกัดกระทรวงสาธารณสุข</t>
  </si>
  <si>
    <t>แผนงานบูรณาการต่อต้านการทุจริตและประพฤติมิชอบ</t>
  </si>
  <si>
    <t>2100256001300xxx0000</t>
  </si>
  <si>
    <t>โครงการประเมินคุณธรรมและความโปร่งใส</t>
  </si>
  <si>
    <t>21002668755300000</t>
  </si>
  <si>
    <t>เสริมสร้างพฤติกรรม จริยธรรม และการต่อต้านการทุจริต</t>
  </si>
  <si>
    <t>หมายเหตุ</t>
  </si>
  <si>
    <t>สสอ.บางไทร 360 คืน เนื่องจากข้อมูลผู้ป่วยไม่ครบ</t>
  </si>
  <si>
    <t>พบค.</t>
  </si>
  <si>
    <t>ทิพวรรณ บุญ</t>
  </si>
  <si>
    <t>ทรัพย์</t>
  </si>
  <si>
    <t>ส่งเสริม</t>
  </si>
  <si>
    <t>36/66</t>
  </si>
  <si>
    <t>46/66</t>
  </si>
  <si>
    <t>24/66</t>
  </si>
  <si>
    <t>32/66</t>
  </si>
  <si>
    <t>41/66</t>
  </si>
  <si>
    <t>35/66</t>
  </si>
  <si>
    <t>39/66</t>
  </si>
  <si>
    <t>47/65</t>
  </si>
  <si>
    <t>48/66</t>
  </si>
  <si>
    <t>49/66</t>
  </si>
  <si>
    <t>26/66</t>
  </si>
  <si>
    <t>40/66</t>
  </si>
  <si>
    <t>28/66</t>
  </si>
  <si>
    <t>27/66</t>
  </si>
  <si>
    <t>34/66</t>
  </si>
  <si>
    <t>45/66</t>
  </si>
  <si>
    <t>37/66</t>
  </si>
  <si>
    <t>38/66</t>
  </si>
  <si>
    <t>21002140003001000000</t>
  </si>
  <si>
    <t>กิจกรรมค่าใช้จ่ายบุคลากรในการพัฒนาระบบบริหารจัดการทรัพยกรด้านสุขภาพ สสจ.</t>
  </si>
  <si>
    <t>กิจกรรมค่าใช้จ่ายบุคลากรในการพัฒนาระบบบริหารจัดการทรัพยกรด้านสุขภาพ สสอ.</t>
  </si>
  <si>
    <t>14.สธ0206.02/630-4ก.พ.66</t>
  </si>
  <si>
    <t>15.สธ0206.03/ว29-6ก.พ.65</t>
  </si>
  <si>
    <t>16.สธ.0206.03/ว23-30 ม.ค.65</t>
  </si>
  <si>
    <t>กิจกรรม : พัฒนาระบบบริการปฐมภูมิให้มีคุณภาพมาตรฐานและพัฒนาคุณภาพชีวิตระดับอำเภอ 
เพื่อพัฒนาศักยภาพทีมตรวจประเมิน/ทีมพี่เลี้ยงระดับจังหวัด/ระดับอำเภอ</t>
  </si>
  <si>
    <t>กิจกรรมค่าใช้จ่ายบุคลากรในการพัฒนาระบบบริหารจัดการทรัพยกรด้านสุขภาพ รพช.</t>
  </si>
  <si>
    <t>งบบุคลากร</t>
  </si>
  <si>
    <t>ผลผลิตรายการค่าใช้จ่ายบุคลากรภาครัฐ พัฒนาด้านสาธารณสุขและสร้างเสริมสุขภาพเชิงรุก
ค่าตอบแทนพนักงานราชการ</t>
  </si>
  <si>
    <t>30/66</t>
  </si>
  <si>
    <t>61/66</t>
  </si>
  <si>
    <t>31/66</t>
  </si>
  <si>
    <t>62/66</t>
  </si>
  <si>
    <t>63/66</t>
  </si>
  <si>
    <t>29/66</t>
  </si>
  <si>
    <t>52/66</t>
  </si>
  <si>
    <t>51/66</t>
  </si>
  <si>
    <t>33/66</t>
  </si>
  <si>
    <t>47/66</t>
  </si>
  <si>
    <t>22/66</t>
  </si>
  <si>
    <t>ทันตะ</t>
  </si>
  <si>
    <t>NCD</t>
  </si>
  <si>
    <t>GF เบิกมากกว่า+</t>
  </si>
  <si>
    <t>สธ 0206.03/426 ลงวันที่ 17 กุมภาพันธ์ 2566</t>
  </si>
  <si>
    <t xml:space="preserve">กิจกรรมค่าใช้จ่ายบุคลากรในการพัฒนาระบบบริหารจัดการทรัพยากรด้านสุขภาพ (พตส.) งวดที่ 3 ญาสุมินทร์ </t>
  </si>
  <si>
    <t>กิจกรรมค่าใช้จ่ายบุคลากรในการพัฒนาระบบบริหารจัดการทรัพยกรด้านสุขภาพ (ฉ.11) งวดที่ 2 ญาสุมินทร์</t>
  </si>
  <si>
    <t>พคบ</t>
  </si>
  <si>
    <t>21002320009092000000</t>
  </si>
  <si>
    <t>รายละเอียดการใช้จ่ายเงินงบประมาณ สำนักงานปลัดกระทรวงสาธารณสุข</t>
  </si>
  <si>
    <t>ผลผลิต  โครงการลดปัจจัยเสี่ยงทางสุขภาพด้านยาเสพติดแบบบูรณาการ(21002060007002000000)</t>
  </si>
  <si>
    <t>หน่วยงาน</t>
  </si>
  <si>
    <t>งบประมาณปี 2566</t>
  </si>
  <si>
    <t>แห่งละ</t>
  </si>
  <si>
    <t>งบยาเสพติด</t>
  </si>
  <si>
    <t>รวมส่งเบิกทั้งสิ้น</t>
  </si>
  <si>
    <t>ร้อยละที่ส่งเบิก</t>
  </si>
  <si>
    <t>คงเหลือเงินที่ยังไม่ได้เบิก</t>
  </si>
  <si>
    <t>เบิกจ่ายแล้ว</t>
  </si>
  <si>
    <t>ส่งเบิกแล้ว</t>
  </si>
  <si>
    <t>รพ.พระนครศรีอยุธยา</t>
  </si>
  <si>
    <t>รพ.เสนา</t>
  </si>
  <si>
    <t>รพ.สมเด็จ</t>
  </si>
  <si>
    <t>สสอ.พระนครศรีอยุธยา</t>
  </si>
  <si>
    <t>รวมจัดสรร</t>
  </si>
  <si>
    <t>50/66</t>
  </si>
  <si>
    <t>53/66</t>
  </si>
  <si>
    <t>54/66</t>
  </si>
  <si>
    <t xml:space="preserve">งบประมาณ </t>
  </si>
  <si>
    <t>ร้อยละ</t>
  </si>
  <si>
    <t xml:space="preserve">
ค่าเช่าบ้าน (2 คน)</t>
  </si>
  <si>
    <t>ค่าไม่ทำเวช (5 คน)</t>
  </si>
  <si>
    <t>ค่าประกันสังคม สสจ.รพช.</t>
  </si>
  <si>
    <t>ค่าตอบแทนสำหรับตำแหน่งที่มีเหตุพิเศษ (ค.ต.ส.) งวดที่ 1-2</t>
  </si>
  <si>
    <t xml:space="preserve"> (พ.ต.ส.)  งวดที่ 1-2</t>
  </si>
  <si>
    <t xml:space="preserve"> (ฉ.11) งวดที่ 1-3</t>
  </si>
  <si>
    <t>เดือน</t>
  </si>
  <si>
    <t>งบค่าใช้จ่ายบุคลากรภาครัฐ</t>
  </si>
  <si>
    <t>งบฝ่าย สสจ.</t>
  </si>
  <si>
    <t>งบเฉพาะ(ยาเสพติด,ขยะ,เฉลิมพระเกียรติ,จัดสรรลงพื้นที่)</t>
  </si>
  <si>
    <t>21/03/2566</t>
  </si>
  <si>
    <t>22/03/2566</t>
  </si>
  <si>
    <t>23/03/2566</t>
  </si>
  <si>
    <t>กิจกรรมให้บริการแก่กลุ่มเป้าหมาเฉพาะนอกระบบหลักประกันสุขภาพ
 เพื่อสนับสนุนงานนิตเวช</t>
  </si>
  <si>
    <t>17.สธ0206.03/ว92-23มี.ค.66</t>
  </si>
  <si>
    <t>18.สธ.0207.02/6335-20มี.ค.66</t>
  </si>
  <si>
    <t>กิจกรรมค่าใช้จ่ายบุคลสกรในการพัฒนาระบบบริหารจัดการทรัพยกรด้านสุขภาพ เพื่อเป็นเงินค่าประกันสังคมส่วนของนายจ้าง งวดที่ 2 เงินสมทบ  สสอ.  สุวรรณรัตน์</t>
  </si>
  <si>
    <t>กิจกรรมค่าใช้จ่ายบุคลสกรในการพัฒนาระบบบริหารจัดการทรัพยกรด้านสุขภาพ เพื่อเป็นเงินค่าประกันสังคมส่วนของนายจ้าง งวดที่ 2 เงินสมทบ  สสจ.  สุวรรณรัตน์</t>
  </si>
  <si>
    <t>กิจกรรมค่าใช้จ่ายบุคลสกรในการพัฒนาระบบบริหารจัดการทรัพยกรด้านสุขภาพ เพื่อเป็นเงินค่าประกันสังคมส่วนของนายจ้าง งวดที่ 2ค่ากองทุนเงินทดแทน  รพช สุวรรณรัตน์</t>
  </si>
  <si>
    <t>กิจกรรมค่าใช้จ่ายบุคลากรในการพัฒนาระบบบริหารจัดการทรัพยากรด้านสุขภาพ
เพื่อเป็นค่าตอบแทนสำหรับตำแหน่งที่มีเหตุพิเศษ (ค.ต.ส.) สสจ. งวดที่ 2 ญาสุมินทร์</t>
  </si>
  <si>
    <t>กิจกรรมค่าใช้จ่ายบุคลากรในการพัฒนาระบบบริหารจัดการทรัพยากรด้านสุขภาพ
เพื่อเป็นค่าตอบแทนสำหรับตำแหน่งที่มีเหตุพิเศษ (ค.ต.ส.) รพช. งวดที่ 2 ญาสุมินทร์</t>
  </si>
  <si>
    <t>19.สธ.0206.02/ว101-24มี.ค.66</t>
  </si>
  <si>
    <t>20.สธ.0206.03/ว103-27มี.ค.66</t>
  </si>
  <si>
    <t>21.สธ.0206.03/ว93/23มี.ค.66</t>
  </si>
  <si>
    <t>กิจกรรมค่าใช้จ่ายบุคลากรในการพัฒนาระบบบริหารจัดการทรัพยากรด้านสุขภาพ
ค่าเช่าบ้าน งวดที่ 2 อาภัสรา</t>
  </si>
  <si>
    <t>22.สธ.0206.03/ว97-23มี.ค.66</t>
  </si>
  <si>
    <t>23.สธ.0206.03/ว98-23มี.ค.66</t>
  </si>
  <si>
    <r>
      <t xml:space="preserve">กิจกรรมพัฒนาระบบบริหารจัดการทรัพยากรด้านสุขภาพ
 - ค่าสาธารณูปโภค สสจ. (งวดที่2) </t>
    </r>
    <r>
      <rPr>
        <sz val="16"/>
        <color rgb="FFFF0000"/>
        <rFont val="TH SarabunPSK"/>
        <family val="2"/>
      </rPr>
      <t>ทิพวรรณ</t>
    </r>
  </si>
  <si>
    <t>25.สธ0206.03/ว104-28มี.ค.65</t>
  </si>
  <si>
    <t>กิจกรรมพัฒนาระบบทันตกรรมปฐมภูมิมาตรฐาน</t>
  </si>
  <si>
    <t>รายละเอียดการใช้จ่ายเงินงบประมาณ (สำนักงานปลัดกระทรวงสาธารณสุข)</t>
  </si>
  <si>
    <t>ผลผลิต : โครงการพัฒนาระบบการแพย์ปฐมภูมิ และเครือข่ายสุขภาพระดับอำเภอ (21002320016002000000)</t>
  </si>
  <si>
    <t xml:space="preserve"> กิจกรรม : พัฒนาระบบบริการปฐมภูมิให้มีคุณภาพมาตรฐาน  ( 21002660000100000 )</t>
  </si>
  <si>
    <t xml:space="preserve"> สสอ. ชุมชน 42 หน่วยๆละ5,000 บาท</t>
  </si>
  <si>
    <t>ค่าตอบแทนใช้สอยและวัสดุ</t>
  </si>
  <si>
    <t>ส่งเบิก</t>
  </si>
  <si>
    <t>รพ.สต.ลุมพลี</t>
  </si>
  <si>
    <t>รพ.สต.พระญาติการาม</t>
  </si>
  <si>
    <t>รพ.สต.ไผ่ลิง</t>
  </si>
  <si>
    <t>รพ.สต.สวนพลู</t>
  </si>
  <si>
    <t>รพ.สต.บ้านใหม่</t>
  </si>
  <si>
    <t>รพ.สต.สำเภาล่ม</t>
  </si>
  <si>
    <t>ศูนย์แพทย์วันอินทราราม</t>
  </si>
  <si>
    <t>ศูนย์เวชปฏิบัติครอบครัว</t>
  </si>
  <si>
    <t>ศูนย์แพทย์ป้อมเพชร</t>
  </si>
  <si>
    <t>ศูนย์แพทย์ วัดตึก</t>
  </si>
  <si>
    <t>ศูนย์แพทย์รพ.อยุธยา สสจ.</t>
  </si>
  <si>
    <t>ศูนย์สุขภาพชุมชนเมืองเสนา</t>
  </si>
  <si>
    <t>รพ.สต.บ้านแถว</t>
  </si>
  <si>
    <t>รพ.สต.รางจรเข้</t>
  </si>
  <si>
    <t>รพ.สต.ชายนา</t>
  </si>
  <si>
    <t>รพ.สต.ขนอนเหนือ</t>
  </si>
  <si>
    <t>รพ.สต.ลานเท</t>
  </si>
  <si>
    <t>รพ.สต.บางกระสั้น</t>
  </si>
  <si>
    <t>รพ.สต.เชียงรากน้อย</t>
  </si>
  <si>
    <t>รพ.สต.ท่าเจ้าสนุก</t>
  </si>
  <si>
    <t>รพ.สต.วังแดง</t>
  </si>
  <si>
    <t>รพ.สต.ท่าช้าง</t>
  </si>
  <si>
    <t>รพ.สมเด็จพระสังฆราช</t>
  </si>
  <si>
    <t>รพ.สต.ไม้ตรา</t>
  </si>
  <si>
    <t>รพ.สต.ราชคราม</t>
  </si>
  <si>
    <t>รพ.สต.บางหลวง</t>
  </si>
  <si>
    <t>รพ.สต.พะยอม</t>
  </si>
  <si>
    <t>รพ.สต.ลำตาเสา</t>
  </si>
  <si>
    <t>รพ.สต.ธนู</t>
  </si>
  <si>
    <t>รพ.สต.สามบัณฑิต</t>
  </si>
  <si>
    <t>รพ.สต.คานหาม</t>
  </si>
  <si>
    <t>รพ.สต.บ้านขวาง</t>
  </si>
  <si>
    <t>รพ.สต.พุทเลา</t>
  </si>
  <si>
    <t>รพ.สต.บ้านขล้อ</t>
  </si>
  <si>
    <t>รพ.สต.หังสัง</t>
  </si>
  <si>
    <t>รพ.สต.บ้านแค</t>
  </si>
  <si>
    <t>รพ.สต.ลาดชิด</t>
  </si>
  <si>
    <t>ทิพวรรณ  บุญช่วย</t>
  </si>
  <si>
    <t>กิจกรรมพัฒนาระบบทันตกรรมปฐมภูมิมาตรฐาน
เพื่อการลงพื้นที่กำกับ ติดตามผลการดำเนินงานการตรวจประเมินมาตรฐานคลินิคทันตกรรมในหน่วยบริการสุขาพปฐมภูมิและเครือข่ายบริการสุขภาพปฐมภูมิ จากโครงการพัฒนาระบบทันตกรรมปฐมภูมิมาตรฐาน</t>
  </si>
  <si>
    <t>พชอ.</t>
  </si>
  <si>
    <t>43/66</t>
  </si>
  <si>
    <t>58/66</t>
  </si>
  <si>
    <t>73/66</t>
  </si>
  <si>
    <t>44/66</t>
  </si>
  <si>
    <t>42/66</t>
  </si>
  <si>
    <t>59/66</t>
  </si>
  <si>
    <t>26.สธ.0206.03/ว116-3เม.ย.66</t>
  </si>
  <si>
    <t>สิ่งแวดล้อม</t>
  </si>
  <si>
    <t xml:space="preserve">กิจกรรม : พัฒนาระบบบริการปฐมภูมิให้มีคุณภาพมาตรฐานและพัฒนาคุณภาพชีวิตระดับอำเภอ 
 - หน่วยบริการ 38 แห่ง 9,000 = 342,000 บาท  </t>
  </si>
  <si>
    <t>29. สธ.0239.01/821-18เม.ย.66</t>
  </si>
  <si>
    <t>30.สธ.0207.02.2/1874/7เม.ย.66</t>
  </si>
  <si>
    <t xml:space="preserve">กิจกรรม : สนับสนุนการสร้างเสริมสุขภาพ เฝ้าระวัง ป้องกัน ควบคุมโรค และภัยสุขภาพ งวดที่ 2 (ค่าตอบแทนประชุมคกก. พระราชบัญญัตโรคติดต่อ)                </t>
  </si>
  <si>
    <t>28. สธ.0206.03/ว129-18เม.ย.65</t>
  </si>
  <si>
    <t>27.สธ.0206.03/ว125-18เม.ย.66</t>
  </si>
  <si>
    <t xml:space="preserve">กิจกรรมค่าใช้จ่ายบุคลากรในการพัฒนาระบบบริหารจัดการทรัพยากรด้านสุขภาพ
ค่าไม่ทำเวช งวดที่ 2  ญาสุมินทร์ </t>
  </si>
  <si>
    <t>ญาสุมินทร์</t>
  </si>
  <si>
    <t>ทิพวรรณ</t>
  </si>
  <si>
    <t>สธ.0206.02/ว344-18ต.ค65
ทิพวรรณ</t>
  </si>
  <si>
    <t>บ้านพักข้าราชการอำนวยการระดับต้น/ชำนาญการพิเศษ เป็นอาคาร คสล. 2 ชั้น พื้นที่ใช้สอยประมาณ 100 ตารางเมตร (โครงสร้างต้านแผ่นดินไหว) แบบเลขที่ 11058 (รพสต.บ้านนา อำเภอมหาราช)</t>
  </si>
  <si>
    <t>อาคารพัสดุ เป็นอาคาร คสล.2 ชั้น พื้นที่ใช้สอยประมาณ 576 ตารางเมตร (โครงสร้างต้านแผ่นดินไหว) สำนักงานสาธารณสุขจังหวัดพระนครศรีอยุธยา ตำบลหอรัตนไชย อำเภอพระนครศรีอยุธยา จังหวัดพระนครศรีอยุธยา  แบบเลขที่ 10109 (สสจ.อยุธยา)</t>
  </si>
  <si>
    <t>อาคารสถานีอนามัย เป็นอาคาร คสล.2 ชั้น พื้นที่ใช้สอยประมาณ 369 ตารางเมตร (โครงสร้างต้านแผ่นดินไหว) แบบเลขที่ 8170/2536 (รพสต.หันสัง อำเภอบางปะหัน)</t>
  </si>
  <si>
    <t xml:space="preserve">อาคารจ่ายกลาง เป็นอาคาร คสล.1 ชั้น พื้นที่ใช้สอยประมาณ 336 ตารางเมตร โรงพยาบาลลาดบัวหลวง ตำบลสามเมือง อำเภอลาดบัวหลวง จังหวัดพระนครศรีอยุธยา แบบเลขที่ 11010 </t>
  </si>
  <si>
    <t>24.สธ.0206.03/ว96-23มี.ค.66</t>
  </si>
  <si>
    <t>56/66</t>
  </si>
  <si>
    <t>60/66</t>
  </si>
  <si>
    <t>55/66</t>
  </si>
  <si>
    <t>มส</t>
  </si>
  <si>
    <t>'48/66</t>
  </si>
  <si>
    <t>กลุ่มงาน</t>
  </si>
  <si>
    <t>บร.</t>
  </si>
  <si>
    <t>สวล.</t>
  </si>
  <si>
    <t>สส.</t>
  </si>
  <si>
    <t>บร.ค่าเที่ดิน</t>
  </si>
  <si>
    <t>กลุ่มงานต่างๆ</t>
  </si>
  <si>
    <t>ครต./บร.</t>
  </si>
  <si>
    <t>แผนงานบูรณาการป้องกัน ปราบปราม และบำบัดรักษาผู้ติดยาเสพติด
โครงการลดปัจจัยเสี่ยงทางสุขภาพด้านยาเสพติดแบบบูรณาการ
รหัสกิจกรรม 21002668756300000 สสอ.ทุกแห่ง จำนวน 63,300 บาท</t>
  </si>
  <si>
    <t xml:space="preserve"> สสอ. ชุมชน 38 หน่วยๆละ9,000 บาท</t>
  </si>
  <si>
    <t>จัดสรร วันที่ 28 เม.ย. 66   เร่งรัดเบิกจ่าย ภายใน 7 ก.ค. 66</t>
  </si>
  <si>
    <t>สสอ./รพ.</t>
  </si>
  <si>
    <t>พระนครศรีอยุธยา (สสอ.)</t>
  </si>
  <si>
    <t>พระนครศรีอยุธยา (รพ.)</t>
  </si>
  <si>
    <t>บางซ้าย (รพ.)</t>
  </si>
  <si>
    <t>ภาชี (รพ.)</t>
  </si>
  <si>
    <t>ลาดบัวหลวง (รพ.)</t>
  </si>
  <si>
    <t>วังน้อย (สสอ.)</t>
  </si>
  <si>
    <t>วังน้อย (รพ.)</t>
  </si>
  <si>
    <t>ผักไห่ (สสอ.)</t>
  </si>
  <si>
    <t>บางปะหัน (สสอ.)</t>
  </si>
  <si>
    <t>อุทัย (สสอ.)</t>
  </si>
  <si>
    <t>มหาราช (สสอ.)</t>
  </si>
  <si>
    <t>บางไทร (สสอ.)</t>
  </si>
  <si>
    <t>บางบาล (สสอ.)</t>
  </si>
  <si>
    <t>สมเด็จฯ (รพ.)</t>
  </si>
  <si>
    <t>รอเบิก</t>
  </si>
  <si>
    <t>นครหลวง (สสอ.)</t>
  </si>
  <si>
    <t>ท่าเรือ (สสอ.)</t>
  </si>
  <si>
    <t>บางปะอิน (สสอ.)</t>
  </si>
  <si>
    <t>เสนา (สสอ.)</t>
  </si>
  <si>
    <t>บางซ้าย (สสอ.)</t>
  </si>
  <si>
    <t>ลาดบัวหลวง (รพ)</t>
  </si>
  <si>
    <t xml:space="preserve">ฏ974 คชจ.ประชุม 4480 + ค่าวัสดุ 500 </t>
  </si>
  <si>
    <t>31//5/2566</t>
  </si>
  <si>
    <t>กิจกรรมค่าใช้จ่ายบุคลสกรในการพัฒนาระบบบริหารจัดการทรัพยกรด้านสุขภาพ เพื่อเป็นเงินค่าประกันสังคมส่วนของนายจ้าง งวดที่ 3 เงินสมทบ  สสจ.  สุวรรณรัตน์</t>
  </si>
  <si>
    <t>กิจกรรมค่าใช้จ่ายบุคลสกรในการพัฒนาระบบบริหารจัดการทรัพยกรด้านสุขภาพ เพื่อเป็นเงินค่าประกันสังคมส่วนของนายจ้าง งวดที่ 3 เงินสมทบ  รพช.  สุวรรณรัตน์</t>
  </si>
  <si>
    <t>% เบิกจ่าย</t>
  </si>
  <si>
    <t>% การเบิกจ่าย</t>
  </si>
  <si>
    <t>กิจกรรมค่าใช้จ่ายบุคลากรในการพัฒนาระบบบริหารจัดการทรัพยากรด้านสุขภาพ
เพื่อเป็นค่าตอบแทนสำหรับตำแหน่งที่มีเหตุพิเศษ (ค.ต.ส.) รพช. งวดที่ 3 ญาสุมินทร์</t>
  </si>
  <si>
    <t>สป.ยาเสพติด(บำบัดรักษา)</t>
  </si>
  <si>
    <t>ครม.</t>
  </si>
  <si>
    <t>ควบคุมโรคและภัยสุขภาพ</t>
  </si>
  <si>
    <t>ครต.</t>
  </si>
  <si>
    <t>(กลุ่มวัยผู้สูงอายุ)</t>
  </si>
  <si>
    <t>21002668207500000(กลุ่มวัยทำงาน)</t>
  </si>
  <si>
    <t>21002668207400000(กลุ่มวัยรุ่น)</t>
  </si>
  <si>
    <t>ยุทธ</t>
  </si>
  <si>
    <t>21002660004700000(กลุ่มวัยผู้สูงอายุ)</t>
  </si>
  <si>
    <t>21002668207200000(กลุ่มเด็กวัยเรียน 5-14ปี)</t>
  </si>
  <si>
    <t>21002668207100000(กลุ่มสตรีและเด็กปฐมวัย)</t>
  </si>
  <si>
    <t>ประกันฯ</t>
  </si>
  <si>
    <t>21002660000100000(ปฐมภูมิและพชอ.)</t>
  </si>
  <si>
    <t>กฎหมาย</t>
  </si>
  <si>
    <t>โครงการ/ผลผลิต</t>
  </si>
  <si>
    <t>ไม่เบิก</t>
  </si>
  <si>
    <t>สส</t>
  </si>
  <si>
    <t>ครต</t>
  </si>
  <si>
    <t xml:space="preserve">กิจกรรม : สนับสนุนการสร้างเสริมสุขภาพ เฝ้าระวัง ป้องกัน ควบคุมโรค และภัยสุขภาพ (OSCC)    </t>
  </si>
  <si>
    <t>31.สธ.0206.03/ว175-9มิ.ย.66</t>
  </si>
  <si>
    <t xml:space="preserve">กิจกรรมค่าใช้จ่ายบุคลากรในการพัฒนาระบบบริหารจัดการทรัพยากรด้านสุขภาพ (พตส.) งวดที่ 4 ญาสุมินทร์ </t>
  </si>
  <si>
    <t>32.สธ.0206.02/ว188  - 23มิ.ย.66</t>
  </si>
  <si>
    <t>33.สธ.020603/ว205-6ก.ค.66</t>
  </si>
  <si>
    <t>ค่าเช่าทรัพย์สิน</t>
  </si>
  <si>
    <t xml:space="preserve">กิจกรรม : พัฒนาระบบบริการปฐมภูมิให้มีคุณภาพมาตรฐานและพัฒนาคุณภาพชีวิตระดับอำเภอ 
  - สสจ. 150,000 บาท
 -  หน่วยบริการ 2 แห่ง 10,000 = 20,000 บาท  </t>
  </si>
  <si>
    <t>35.สธ.0206.03/ว218/14ก.ค.66</t>
  </si>
  <si>
    <r>
      <t xml:space="preserve">กิจกรรมพัฒนาระบบบริหารจัดการทรัพยากรด้านสุขภาพ
 - ค่าสาธารณูปโภค สสจ. (งวดที่3) </t>
    </r>
    <r>
      <rPr>
        <sz val="16"/>
        <color rgb="FFFF0000"/>
        <rFont val="TH SarabunPSK"/>
        <family val="2"/>
      </rPr>
      <t>ทิพวรรณ</t>
    </r>
  </si>
  <si>
    <t>21002320007092000000</t>
  </si>
  <si>
    <t>36.สธ.02063.03/ว226-18ก.ค.66</t>
  </si>
  <si>
    <t>37.สธ.0206.03/ว225-18ก.ค.66</t>
  </si>
  <si>
    <t>กรมสนับสนุนบริการสุขภาพ</t>
  </si>
  <si>
    <t>โครงการพัฒนาและสร้างเสริมศักยภาพคนทุกกลุ่มวัย</t>
  </si>
  <si>
    <t xml:space="preserve">กิจกรรมพัฒนาประชาชนให้มีศักยภาพในการจัดการสุขภาพตอนเองที่ถูกต้องเหมาะสม
 - สนับสนุนขับเคลื่อนชี้แจ้งหลักเกณฑ์การปฎิบัติงานของ อสม. </t>
  </si>
  <si>
    <t>21002999999999900</t>
  </si>
  <si>
    <t>38.0206.02/ว230-20ก.ค.66</t>
  </si>
  <si>
    <t>36-1. สธ0206.03/ว213-12ก.ค.66</t>
  </si>
  <si>
    <t>สสจ.อยุธยา</t>
  </si>
  <si>
    <t>กิจกรรมให้บริการรักษาพยาบาลและฟื้นฟูสภาพผู้ป่วยยาเสพติดในพื้นที่  21002661264200000</t>
  </si>
  <si>
    <t>กิจกรรมติดตามดูแล ช่วยเหลือ ผู้ผ่านการบำบัดรักษายาเสพติด '21002668756300000</t>
  </si>
  <si>
    <t>โครงการลดปัจจัยเสี่ยงทางสุขภาพด้านยาเสพติดแบบบูรณาการ '21002060007002000000</t>
  </si>
  <si>
    <t>งวด 3 ไตรมาส 4</t>
  </si>
  <si>
    <t xml:space="preserve">บร </t>
  </si>
  <si>
    <t>งานนิตเวช</t>
  </si>
  <si>
    <t>รอจัดสรรใหม่</t>
  </si>
  <si>
    <t>37.สธ.0206.03/ว244-28ก.ค.66</t>
  </si>
  <si>
    <t>38.สธ.0206.03/ว241-26ก.ค.66</t>
  </si>
  <si>
    <t>39.สธ.0206.03-ว240-27-ก.ค.66</t>
  </si>
  <si>
    <t>40.สธ.0206.03/ว243-26ก.ค.66</t>
  </si>
  <si>
    <t>41.สธ.0206.02/ว230-7พ.ย.65</t>
  </si>
  <si>
    <t>34.สธ.0206.03/ว207-11ก.ค.66</t>
  </si>
  <si>
    <t>42. สธ.0206.02/ว168-1มิ.ย.66</t>
  </si>
  <si>
    <t>43.สธ.0206.03/ว258-7ส.ค.66</t>
  </si>
  <si>
    <t>กิจกรรมพัฒนาระบบทันตกรรมปฐมภูมิมาตรฐาน (ค่าดำเนินการตามผลงาน)</t>
  </si>
  <si>
    <t>ปรับปรุงโรงพยาบาลส่งเสริมสุขภาพตำบลข้าวเม่า ต.ข้าวเม่า อ.อุทัย จ.พระนครศรีอยุธยา</t>
  </si>
  <si>
    <t>ปรับปรุงซ่อมแซม โรงพยาบาลส่งเสริมสุขภาพตำบลช้างน้อย ต.ช้างน้อย อ.บางไทร จ.พระนครศรีอยุธยา</t>
  </si>
  <si>
    <t>เทพื้น คสล.หนา 0.15 ม. ชั้นล่างของตัวอาคาร โรงพยาบาลส่งเสริมสุขภาพตำบลทางหลวง ต.ปลายกลัด อ.บางซ้าย</t>
  </si>
  <si>
    <t>เทพื้น คสล. หนา 0.15 ม. ชั้นล่างของตัวอาคารโรงพยาบาลส่งเสริมสุขภาพตำบลเต่าเล่า ต.เต่าเล่า อ.บางซ้าย</t>
  </si>
  <si>
    <t>ซ่อมแซมอาคารโรงพยาบาลส่งเสริมสุขภาพตำบลบ้านคลัง ต.บ้านคลัง อ.บางบาล จ.พระนครศรีอยุธยา</t>
  </si>
  <si>
    <t>ปรับปรุงโรงพยาบาลส่งเสริมสุขภาพตำบลบ้านช้าง ต.บ้านช้าง อ.อุทัย จ.พระนครศรีอยุธยา</t>
  </si>
  <si>
    <t>ซ่อมแซมสีอาคารและรั้ว โรงพยาบาลส่งเสริมสุขภาพตำบลป้านแป้ง 2 ต.บ้านแป้ง อ.บางประอิน จ.พระนครศรีอยุธยา</t>
  </si>
  <si>
    <t>ซ่อมแซมพื้นและเสาธงหน้าโรงพยาบาลส่งเสริมสุขภาพตำบลบ้านแป้ง 2 ต.บ้านแป้ง อ.บางประอิน จ.พระนครศรีอยุธย</t>
  </si>
  <si>
    <t>ซ่อมแซมพื้นอาคารสำนักงานและระบบประปา โรงพยาบาลส่งเสริมสุขภาพตำบลบ้านหนองจิก ต.กะทุ่ม อ.มหาราช</t>
  </si>
  <si>
    <t>เทพื้น คสล. หนา 0.15 ม. ชั้นล่างของตัวอาคารโรงพยาบาลส่งเสริมสุขภาพตำบลปลายกลัด ต.ปลายกลัด อ.บางซ้าย</t>
  </si>
  <si>
    <t>ซ่อมแซมพื้นอาคารสำนักงานและอุปกรณ์ โรงพยาบาลส่งเสริมสุขภาพตำบลมหาราช ต.มหาราช อ.มหาราช จ. พระนครศรีอ</t>
  </si>
  <si>
    <t>ปรับปรุงพื้น โรงพยาบาลส่งเสริมสุขภาพตำบลมารวิชัย ต.มารวิชัย อ.เสนา จ. พระนครศรีอยุธยา</t>
  </si>
  <si>
    <t>ซ่อมแซมอาคารและบริเวณโรงพยาบาลส่งเสริมสุขภาพตำบลลาดน้ำเค็ม ต.ลาดน้ำเค็ม อ.ผักไห่ จ.พระนครศรีอยุธยา</t>
  </si>
  <si>
    <t>จัดทำรั้วมาตรฐานด้านข้าง 2 ด้าน อาคารโรงพยาบาลส่งเสริมสุขภาพตำบลวัดยม ความยาวรวม 80 เมตร ต.วัดยม อ.บ</t>
  </si>
  <si>
    <t>ซ่อมแซม/ปรับปรุง โรงพยาบาลส่งเสริมสุขภาพตำบลสำเภาล่ม ต.สำเภาล่ม อ.พระนครศรีอยุธยา จ.พระนครศรีอยุธยา</t>
  </si>
  <si>
    <t>ซ่อมแซมปรับปรุงพื้น และอาคารสำนักงาน และห้องน้ำ ทาสีรั้ว โรงพยาบาลส่งเสริมสุขภาพตำบลเสาธง ต.เสาธง</t>
  </si>
  <si>
    <t>21002320016003210247</t>
  </si>
  <si>
    <t>21002320016003210248</t>
  </si>
  <si>
    <t>21002320016003210250</t>
  </si>
  <si>
    <t>21002320016003210251</t>
  </si>
  <si>
    <t>21002320016003210252</t>
  </si>
  <si>
    <t>21002320016003210253</t>
  </si>
  <si>
    <t>21002320016003210254</t>
  </si>
  <si>
    <t>21002320016003210255</t>
  </si>
  <si>
    <t>21002320016003210256</t>
  </si>
  <si>
    <t>21002320016003210257</t>
  </si>
  <si>
    <t>21002320016003210258</t>
  </si>
  <si>
    <t>21002320016003210259</t>
  </si>
  <si>
    <t>21002320016003210260</t>
  </si>
  <si>
    <t>21002320016003210261</t>
  </si>
  <si>
    <t>21002320016003210262</t>
  </si>
  <si>
    <t>21002320016003210263</t>
  </si>
  <si>
    <t>แผนงานบุคลากรภาครัฐ ไตรมาส 4</t>
  </si>
  <si>
    <t>เงินโอน 7/8/2566</t>
  </si>
  <si>
    <t>ค่าสาธารณูปโภค</t>
  </si>
  <si>
    <t>21002320020003210188</t>
  </si>
  <si>
    <t>21002320020003210189</t>
  </si>
  <si>
    <t>ซ่อมแซมสนามหญ้า สำนักงานสาฑธารณสุขอำเภอนครหลวง สำนักงานสาธารณสุขอำเภอนครหลวง ตำบลนครหลวง อำเภอนครหลวง จังหวัดพระนครศรีอยุธยา</t>
  </si>
  <si>
    <t>ปรับปรุง สำนักงานสาธารณสุขอำเภอ สำนักงานสาธารณสุขอำเภอบางไทร ตำบลบางไทร อำเภอบางไทร จังหวัดพระนครศรีอยุธยา</t>
  </si>
  <si>
    <t>โครงการพัฒนาและสร้างเสริมศักยภาพคนทุกกลุ่มวัย (อสม)</t>
  </si>
  <si>
    <t>44.0206.03/ว275-16ส.ค.66</t>
  </si>
  <si>
    <t xml:space="preserve">จัดสรเงินงบประมาณรายจ่าย ไตรมาส 3-4  </t>
  </si>
  <si>
    <t>พคบ. จัดสรร รพ.อยุธยา 52000</t>
  </si>
  <si>
    <t>ค่าน้ำมัน</t>
  </si>
  <si>
    <t>ส่วเอกสารรอการตรวจสอบ</t>
  </si>
  <si>
    <r>
      <t xml:space="preserve">กิจกรรม : สนับสนุนการสร้างเสริมสุขภาพ เฝ้าระวัง ป้องกัน ควบคุมโรค และภัยสุขภาพ  </t>
    </r>
    <r>
      <rPr>
        <sz val="16"/>
        <color rgb="FFFF0000"/>
        <rFont val="TH SarabunPSK"/>
        <family val="2"/>
      </rPr>
      <t xml:space="preserve">(โครงการศูนย์พึ่งได้)   งวด1 </t>
    </r>
    <r>
      <rPr>
        <sz val="16"/>
        <rFont val="TH SarabunPSK"/>
        <family val="2"/>
      </rPr>
      <t xml:space="preserve">    </t>
    </r>
  </si>
  <si>
    <t xml:space="preserve">กิจกรรม : สนับสนุนการสร้างเสริมสุขภาพ เฝ้าระวัง ป้องกัน ควบคุมโรค และภัยสุขภาพ (รพช.4850 บาท สสจ.18500 บาท) (OSCC)            </t>
  </si>
  <si>
    <t>OSCC คืน สส.</t>
  </si>
  <si>
    <t>ทันตะฯ</t>
  </si>
  <si>
    <t>เหลือใช้</t>
  </si>
  <si>
    <t>คงเหลือ (GF)</t>
  </si>
  <si>
    <t>จัดสรรลงพื้นที่ให้รพ.เสนา</t>
  </si>
  <si>
    <t>ขอใช้จริง</t>
  </si>
  <si>
    <t>จัดสรรลงพื้นที่ 11 แห่ง</t>
  </si>
  <si>
    <t>พัสดุ</t>
  </si>
  <si>
    <t>ค่า OT</t>
  </si>
  <si>
    <t>คงเหลือที่ต้องจัดสรร</t>
  </si>
  <si>
    <t>ยอดที่เหลือ</t>
  </si>
  <si>
    <t>หน่วยรับงบประมาณ</t>
  </si>
  <si>
    <t>ใบสั่งซื้อ/สัญญา</t>
  </si>
  <si>
    <t>งบคงเหลือ</t>
  </si>
  <si>
    <t>90909610043000000001</t>
  </si>
  <si>
    <t>รายการค่าใช้จ่ายในการบรรเทา แก้ไขปัญหา และเยียวยาผู้ที่ได้รั</t>
  </si>
  <si>
    <t>6610200</t>
  </si>
  <si>
    <t>5000</t>
  </si>
  <si>
    <t>25,931,256.25</t>
  </si>
  <si>
    <t>01/09/2566</t>
  </si>
  <si>
    <t>เลขที่ ฎีกา</t>
  </si>
  <si>
    <t>ผู้รับผิดชอบ</t>
  </si>
  <si>
    <t>ทิพวรรณ มั่ง</t>
  </si>
  <si>
    <t>ทิพวรรณ์ ปรี</t>
  </si>
  <si>
    <t>รพ.อยุธยา</t>
  </si>
  <si>
    <t>รพ.ลาดบัวงหลวง</t>
  </si>
  <si>
    <t>รพ.อยุธยา 2 (เทศบาล)</t>
  </si>
  <si>
    <t>อ.บางปะอิน</t>
  </si>
  <si>
    <t xml:space="preserve">              รวม</t>
  </si>
  <si>
    <t>%</t>
  </si>
  <si>
    <t>เทศบาล</t>
  </si>
  <si>
    <t>วันที่ เบิกจ่าย</t>
  </si>
  <si>
    <t>งบดำเนินงาน(งบเงินกู้)</t>
  </si>
  <si>
    <t>ค่าสาธารณูปโภค (สสจ.)</t>
  </si>
  <si>
    <t>บริหาร</t>
  </si>
  <si>
    <t>ค่าใช้จ่ายเดินทาง สสจ.</t>
  </si>
  <si>
    <t>OT/เดินทางไปราชการ</t>
  </si>
  <si>
    <t>ยุทธฯ</t>
  </si>
  <si>
    <t>อบรมต่างจังหวัด</t>
  </si>
  <si>
    <t>ค่าตอบแทน วัสดุ สาธารณูปโภค</t>
  </si>
  <si>
    <t>ยอดที่ถูกดึงคืน</t>
  </si>
  <si>
    <t>ค่าเช่าที่ดิน</t>
  </si>
  <si>
    <t xml:space="preserve">OSCC </t>
  </si>
  <si>
    <t>เงินเหลือจากงบต่างๆ</t>
  </si>
  <si>
    <t xml:space="preserve"> ณ วันที่ 12 กันยายน 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</si>
</sst>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87" formatCode="_-* #,##0.000_-;\-* #,##0.000_-;_-* &quot;-&quot;??_-;_-@_-"/>
    <numFmt numFmtId="188" formatCode="#,##0.00_ ;\-#,##0.00\ "/>
    <numFmt numFmtId="189" formatCode="[$-F800]dddd\,\ mmmm\ dd\,\ yyyy"/>
    <numFmt numFmtId="190" formatCode="_-* #,##0.00_-;\-* #,##0.00_-;_-* &quot;-&quot;??_-;_-@"/>
  </numFmts>
  <fonts count="70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u val="double"/>
      <sz val="16"/>
      <name val="TH SarabunPSK"/>
      <family val="2"/>
    </font>
    <font>
      <b/>
      <sz val="14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6"/>
      <color indexed="8"/>
      <name val="TH SarabunPSK"/>
      <family val="2"/>
    </font>
    <font>
      <u/>
      <sz val="16"/>
      <color indexed="10"/>
      <name val="TH SarabunPSK"/>
      <family val="2"/>
    </font>
    <font>
      <b/>
      <u/>
      <sz val="16"/>
      <name val="TH SarabunPSK"/>
      <family val="2"/>
    </font>
    <font>
      <u/>
      <sz val="16"/>
      <name val="TH SarabunPSK"/>
      <family val="2"/>
    </font>
    <font>
      <b/>
      <u val="singleAccounting"/>
      <sz val="16"/>
      <name val="TH SarabunPSK"/>
      <family val="2"/>
    </font>
    <font>
      <sz val="10"/>
      <color rgb="FF252525"/>
      <name val="SarabunRegular"/>
    </font>
    <font>
      <b/>
      <sz val="16"/>
      <color indexed="8"/>
      <name val="TH SarabunPSK"/>
      <family val="2"/>
    </font>
    <font>
      <sz val="11"/>
      <color rgb="FFFF0000"/>
      <name val="Tahoma"/>
      <family val="2"/>
      <scheme val="minor"/>
    </font>
    <font>
      <b/>
      <sz val="21"/>
      <color rgb="FF000000"/>
      <name val="TH SarabunPSK"/>
      <family val="2"/>
    </font>
    <font>
      <b/>
      <sz val="24"/>
      <color rgb="FF000000"/>
      <name val="TH SarabunPSK"/>
      <family val="2"/>
    </font>
    <font>
      <sz val="12"/>
      <color rgb="FF000000"/>
      <name val="TH SarabunPSK"/>
      <family val="2"/>
    </font>
    <font>
      <b/>
      <sz val="11"/>
      <color theme="1"/>
      <name val="Tahoma"/>
      <family val="2"/>
      <scheme val="minor"/>
    </font>
    <font>
      <sz val="11"/>
      <color theme="1"/>
      <name val="TH SarabunPSK"/>
      <family val="2"/>
    </font>
    <font>
      <b/>
      <sz val="16"/>
      <color theme="2"/>
      <name val="TH SarabunPSK"/>
      <family val="2"/>
    </font>
    <font>
      <sz val="8"/>
      <name val="Tahoma"/>
      <family val="2"/>
      <scheme val="minor"/>
    </font>
    <font>
      <sz val="10"/>
      <color indexed="8"/>
      <name val="Tahoma"/>
      <family val="2"/>
    </font>
    <font>
      <b/>
      <sz val="18"/>
      <color indexed="8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8"/>
      <color theme="1"/>
      <name val="TH SarabunPSK"/>
      <family val="2"/>
    </font>
    <font>
      <b/>
      <i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Angsana New"/>
      <family val="1"/>
    </font>
    <font>
      <sz val="18"/>
      <color theme="1"/>
      <name val="Angsana New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6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16"/>
      <color rgb="FF252525"/>
      <name val="TH SarabunPSK"/>
      <family val="2"/>
    </font>
    <font>
      <b/>
      <sz val="16"/>
      <color theme="0" tint="-0.14999847407452621"/>
      <name val="TH SarabunPSK"/>
      <family val="2"/>
    </font>
    <font>
      <sz val="11"/>
      <name val="Tahoma"/>
      <family val="2"/>
      <scheme val="minor"/>
    </font>
    <font>
      <sz val="14"/>
      <color rgb="FFFF0000"/>
      <name val="TH SarabunPSK"/>
      <family val="2"/>
    </font>
    <font>
      <sz val="14"/>
      <name val="TH SarabunPSK"/>
      <family val="2"/>
    </font>
    <font>
      <sz val="11"/>
      <color rgb="FFFF0000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4"/>
      <name val="Angsana New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20"/>
      <color theme="1"/>
      <name val="Angsana New"/>
      <family val="1"/>
    </font>
    <font>
      <sz val="16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sz val="10"/>
      <color rgb="FFFF0000"/>
      <name val="SarabunRegular"/>
    </font>
    <font>
      <b/>
      <sz val="16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rgb="FF252525"/>
      <name val="TH SarabunPSK"/>
      <family val="2"/>
    </font>
    <font>
      <sz val="16"/>
      <color theme="0" tint="-4.9989318521683403E-2"/>
      <name val="TH SarabunPSK"/>
      <family val="2"/>
    </font>
    <font>
      <sz val="9"/>
      <color theme="1"/>
      <name val="Tahoma"/>
      <family val="2"/>
      <scheme val="minor"/>
    </font>
    <font>
      <sz val="12"/>
      <name val="Angsana New"/>
      <family val="1"/>
    </font>
    <font>
      <sz val="14"/>
      <color theme="1"/>
      <name val="Angsana New"/>
      <family val="1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0" tint="-4.9989318521683403E-2"/>
      <name val="TH SarabunPSK"/>
      <family val="2"/>
    </font>
    <font>
      <b/>
      <sz val="20"/>
      <name val="TH SarabunPSK"/>
      <family val="2"/>
    </font>
    <font>
      <b/>
      <sz val="12"/>
      <color theme="1"/>
      <name val="Tahoma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0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B8DAFF"/>
      </patternFill>
    </fill>
    <fill>
      <patternFill patternType="solid">
        <fgColor rgb="FFFFFFFF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0" fillId="0" borderId="1" applyFont="0" applyFill="0" applyBorder="0" applyAlignment="0" applyProtection="0"/>
    <xf numFmtId="0" fontId="1" fillId="0" borderId="1"/>
    <xf numFmtId="0" fontId="1" fillId="0" borderId="1"/>
    <xf numFmtId="0" fontId="1" fillId="0" borderId="1"/>
    <xf numFmtId="0" fontId="26" fillId="0" borderId="1"/>
    <xf numFmtId="0" fontId="1" fillId="0" borderId="1"/>
    <xf numFmtId="0" fontId="1" fillId="0" borderId="1"/>
    <xf numFmtId="0" fontId="1" fillId="0" borderId="1"/>
  </cellStyleXfs>
  <cellXfs count="1195">
    <xf numFmtId="0" fontId="0" fillId="0" borderId="0" xfId="0"/>
    <xf numFmtId="43" fontId="2" fillId="0" borderId="0" xfId="1" applyFont="1" applyFill="1"/>
    <xf numFmtId="0" fontId="2" fillId="0" borderId="0" xfId="0" applyFont="1"/>
    <xf numFmtId="43" fontId="3" fillId="0" borderId="0" xfId="1" applyFont="1" applyFill="1"/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7" xfId="0" applyNumberFormat="1" applyFont="1" applyBorder="1"/>
    <xf numFmtId="4" fontId="3" fillId="0" borderId="7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quotePrefix="1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49" fontId="2" fillId="0" borderId="2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3" fontId="0" fillId="0" borderId="0" xfId="1" applyFont="1" applyAlignment="1">
      <alignment vertical="top"/>
    </xf>
    <xf numFmtId="0" fontId="6" fillId="0" borderId="1" xfId="0" applyFont="1" applyBorder="1" applyAlignment="1">
      <alignment horizontal="right"/>
    </xf>
    <xf numFmtId="43" fontId="6" fillId="0" borderId="1" xfId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3" fontId="7" fillId="0" borderId="0" xfId="1" applyFont="1" applyFill="1"/>
    <xf numFmtId="0" fontId="7" fillId="0" borderId="0" xfId="0" applyFont="1"/>
    <xf numFmtId="0" fontId="4" fillId="0" borderId="0" xfId="0" applyFont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center"/>
    </xf>
    <xf numFmtId="43" fontId="2" fillId="0" borderId="8" xfId="1" applyFont="1" applyFill="1" applyBorder="1" applyAlignment="1">
      <alignment horizontal="right"/>
    </xf>
    <xf numFmtId="49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 wrapText="1"/>
    </xf>
    <xf numFmtId="4" fontId="9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center"/>
    </xf>
    <xf numFmtId="43" fontId="2" fillId="0" borderId="9" xfId="1" applyFont="1" applyFill="1" applyBorder="1" applyAlignment="1">
      <alignment horizontal="right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" fontId="8" fillId="0" borderId="1" xfId="0" applyNumberFormat="1" applyFont="1" applyBorder="1" applyAlignment="1">
      <alignment horizontal="center"/>
    </xf>
    <xf numFmtId="43" fontId="2" fillId="0" borderId="1" xfId="1" applyFont="1" applyFill="1" applyBorder="1"/>
    <xf numFmtId="4" fontId="3" fillId="0" borderId="3" xfId="0" applyNumberFormat="1" applyFont="1" applyBorder="1" applyAlignment="1">
      <alignment horizontal="center"/>
    </xf>
    <xf numFmtId="4" fontId="3" fillId="0" borderId="2" xfId="0" applyNumberFormat="1" applyFont="1" applyBorder="1"/>
    <xf numFmtId="4" fontId="9" fillId="0" borderId="1" xfId="0" applyNumberFormat="1" applyFont="1" applyBorder="1" applyAlignment="1">
      <alignment horizontal="right"/>
    </xf>
    <xf numFmtId="4" fontId="2" fillId="0" borderId="8" xfId="0" applyNumberFormat="1" applyFont="1" applyBorder="1"/>
    <xf numFmtId="4" fontId="2" fillId="0" borderId="1" xfId="0" applyNumberFormat="1" applyFont="1" applyBorder="1"/>
    <xf numFmtId="4" fontId="8" fillId="0" borderId="1" xfId="0" applyNumberFormat="1" applyFont="1" applyBorder="1"/>
    <xf numFmtId="4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43" fontId="5" fillId="4" borderId="2" xfId="2" applyFont="1" applyFill="1" applyBorder="1" applyAlignment="1">
      <alignment horizontal="center"/>
    </xf>
    <xf numFmtId="17" fontId="5" fillId="5" borderId="2" xfId="0" applyNumberFormat="1" applyFont="1" applyFill="1" applyBorder="1" applyAlignment="1">
      <alignment horizontal="center"/>
    </xf>
    <xf numFmtId="43" fontId="5" fillId="5" borderId="2" xfId="1" applyFont="1" applyFill="1" applyBorder="1" applyAlignment="1">
      <alignment horizontal="center"/>
    </xf>
    <xf numFmtId="0" fontId="5" fillId="6" borderId="2" xfId="0" applyFont="1" applyFill="1" applyBorder="1" applyAlignment="1">
      <alignment horizontal="right"/>
    </xf>
    <xf numFmtId="43" fontId="5" fillId="6" borderId="2" xfId="1" applyFont="1" applyFill="1" applyBorder="1" applyAlignment="1">
      <alignment horizont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/>
    <xf numFmtId="0" fontId="1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" fontId="11" fillId="0" borderId="2" xfId="0" applyNumberFormat="1" applyFont="1" applyBorder="1" applyAlignment="1">
      <alignment horizontal="right"/>
    </xf>
    <xf numFmtId="43" fontId="3" fillId="0" borderId="2" xfId="0" applyNumberFormat="1" applyFont="1" applyBorder="1"/>
    <xf numFmtId="0" fontId="13" fillId="0" borderId="3" xfId="0" applyFont="1" applyBorder="1" applyAlignment="1">
      <alignment horizontal="center" wrapText="1"/>
    </xf>
    <xf numFmtId="0" fontId="9" fillId="0" borderId="0" xfId="0" applyFont="1"/>
    <xf numFmtId="0" fontId="14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1" xfId="0" applyFont="1" applyBorder="1"/>
    <xf numFmtId="0" fontId="3" fillId="0" borderId="6" xfId="0" applyFont="1" applyBorder="1"/>
    <xf numFmtId="0" fontId="14" fillId="0" borderId="12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4" fontId="9" fillId="0" borderId="2" xfId="0" applyNumberFormat="1" applyFont="1" applyBorder="1"/>
    <xf numFmtId="43" fontId="9" fillId="0" borderId="2" xfId="1" applyFont="1" applyBorder="1"/>
    <xf numFmtId="0" fontId="8" fillId="2" borderId="2" xfId="0" applyFont="1" applyFill="1" applyBorder="1"/>
    <xf numFmtId="4" fontId="8" fillId="2" borderId="2" xfId="0" applyNumberFormat="1" applyFont="1" applyFill="1" applyBorder="1"/>
    <xf numFmtId="0" fontId="8" fillId="0" borderId="0" xfId="0" applyFont="1"/>
    <xf numFmtId="0" fontId="9" fillId="0" borderId="0" xfId="0" applyFont="1" applyAlignment="1">
      <alignment wrapText="1"/>
    </xf>
    <xf numFmtId="0" fontId="8" fillId="2" borderId="3" xfId="0" applyFont="1" applyFill="1" applyBorder="1"/>
    <xf numFmtId="0" fontId="8" fillId="2" borderId="4" xfId="0" applyFont="1" applyFill="1" applyBorder="1"/>
    <xf numFmtId="14" fontId="3" fillId="0" borderId="2" xfId="0" applyNumberFormat="1" applyFont="1" applyBorder="1" applyAlignment="1">
      <alignment horizontal="center"/>
    </xf>
    <xf numFmtId="43" fontId="3" fillId="0" borderId="2" xfId="1" applyFont="1" applyBorder="1"/>
    <xf numFmtId="4" fontId="3" fillId="0" borderId="2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3" fontId="3" fillId="0" borderId="2" xfId="1" applyFont="1" applyBorder="1" applyAlignment="1">
      <alignment horizontal="right"/>
    </xf>
    <xf numFmtId="43" fontId="15" fillId="7" borderId="2" xfId="1" applyFont="1" applyFill="1" applyBorder="1" applyAlignment="1" applyProtection="1">
      <alignment horizontal="center"/>
    </xf>
    <xf numFmtId="0" fontId="3" fillId="0" borderId="7" xfId="0" applyFont="1" applyBorder="1" applyAlignment="1">
      <alignment wrapText="1"/>
    </xf>
    <xf numFmtId="0" fontId="2" fillId="3" borderId="3" xfId="0" applyFont="1" applyFill="1" applyBorder="1" applyAlignment="1">
      <alignment horizontal="left" wrapText="1"/>
    </xf>
    <xf numFmtId="0" fontId="3" fillId="0" borderId="2" xfId="0" applyFont="1" applyBorder="1" applyAlignment="1">
      <alignment horizontal="right"/>
    </xf>
    <xf numFmtId="0" fontId="3" fillId="2" borderId="7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43" fontId="3" fillId="2" borderId="2" xfId="0" applyNumberFormat="1" applyFont="1" applyFill="1" applyBorder="1"/>
    <xf numFmtId="0" fontId="3" fillId="2" borderId="2" xfId="0" applyFont="1" applyFill="1" applyBorder="1"/>
    <xf numFmtId="0" fontId="13" fillId="2" borderId="3" xfId="0" applyFont="1" applyFill="1" applyBorder="1" applyAlignment="1">
      <alignment horizontal="center" wrapText="1"/>
    </xf>
    <xf numFmtId="43" fontId="2" fillId="3" borderId="2" xfId="1" applyFont="1" applyFill="1" applyBorder="1" applyAlignment="1" applyProtection="1">
      <alignment horizontal="left"/>
    </xf>
    <xf numFmtId="0" fontId="16" fillId="0" borderId="0" xfId="0" quotePrefix="1" applyFont="1"/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/>
    <xf numFmtId="0" fontId="13" fillId="7" borderId="3" xfId="0" applyFont="1" applyFill="1" applyBorder="1" applyAlignment="1">
      <alignment horizontal="center" wrapText="1"/>
    </xf>
    <xf numFmtId="4" fontId="9" fillId="9" borderId="2" xfId="0" applyNumberFormat="1" applyFont="1" applyFill="1" applyBorder="1"/>
    <xf numFmtId="4" fontId="7" fillId="9" borderId="2" xfId="0" applyNumberFormat="1" applyFont="1" applyFill="1" applyBorder="1"/>
    <xf numFmtId="0" fontId="9" fillId="0" borderId="2" xfId="0" applyFont="1" applyBorder="1" applyAlignment="1">
      <alignment vertical="center" wrapText="1"/>
    </xf>
    <xf numFmtId="43" fontId="2" fillId="3" borderId="2" xfId="1" applyFont="1" applyFill="1" applyBorder="1" applyAlignment="1" applyProtection="1">
      <alignment horizontal="left" wrapText="1"/>
    </xf>
    <xf numFmtId="0" fontId="3" fillId="0" borderId="7" xfId="0" applyFont="1" applyBorder="1" applyAlignment="1">
      <alignment vertical="center" wrapText="1"/>
    </xf>
    <xf numFmtId="43" fontId="0" fillId="0" borderId="0" xfId="1" applyFont="1"/>
    <xf numFmtId="43" fontId="0" fillId="0" borderId="0" xfId="0" applyNumberFormat="1"/>
    <xf numFmtId="0" fontId="3" fillId="8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4" fontId="3" fillId="8" borderId="2" xfId="0" applyNumberFormat="1" applyFont="1" applyFill="1" applyBorder="1" applyAlignment="1">
      <alignment horizontal="center" vertical="center"/>
    </xf>
    <xf numFmtId="4" fontId="3" fillId="8" borderId="2" xfId="0" applyNumberFormat="1" applyFont="1" applyFill="1" applyBorder="1" applyAlignment="1">
      <alignment horizontal="right" vertical="center" shrinkToFit="1"/>
    </xf>
    <xf numFmtId="4" fontId="11" fillId="8" borderId="2" xfId="0" applyNumberFormat="1" applyFont="1" applyFill="1" applyBorder="1" applyAlignment="1">
      <alignment horizontal="center" vertical="center"/>
    </xf>
    <xf numFmtId="0" fontId="0" fillId="0" borderId="1" xfId="0" applyBorder="1"/>
    <xf numFmtId="0" fontId="13" fillId="0" borderId="7" xfId="0" applyFont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4" fontId="16" fillId="0" borderId="2" xfId="0" applyNumberFormat="1" applyFont="1" applyBorder="1"/>
    <xf numFmtId="43" fontId="3" fillId="0" borderId="2" xfId="1" applyFont="1" applyFill="1" applyBorder="1" applyAlignment="1">
      <alignment horizontal="right"/>
    </xf>
    <xf numFmtId="0" fontId="2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horizontal="right" vertical="center" shrinkToFit="1"/>
    </xf>
    <xf numFmtId="4" fontId="17" fillId="8" borderId="2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7" xfId="0" applyFont="1" applyBorder="1" applyAlignment="1">
      <alignment wrapText="1"/>
    </xf>
    <xf numFmtId="0" fontId="9" fillId="0" borderId="2" xfId="0" applyFont="1" applyBorder="1" applyAlignment="1">
      <alignment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2" xfId="0" applyFont="1" applyFill="1" applyBorder="1"/>
    <xf numFmtId="0" fontId="3" fillId="1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3" fontId="2" fillId="11" borderId="2" xfId="1" applyFont="1" applyFill="1" applyBorder="1" applyAlignment="1" applyProtection="1">
      <alignment horizontal="left" wrapText="1"/>
    </xf>
    <xf numFmtId="0" fontId="8" fillId="11" borderId="2" xfId="0" applyFont="1" applyFill="1" applyBorder="1"/>
    <xf numFmtId="0" fontId="2" fillId="11" borderId="2" xfId="0" applyFont="1" applyFill="1" applyBorder="1" applyAlignment="1">
      <alignment horizontal="left" wrapText="1"/>
    </xf>
    <xf numFmtId="0" fontId="2" fillId="11" borderId="2" xfId="0" applyFont="1" applyFill="1" applyBorder="1" applyAlignment="1">
      <alignment wrapText="1"/>
    </xf>
    <xf numFmtId="0" fontId="2" fillId="11" borderId="2" xfId="0" quotePrefix="1" applyFont="1" applyFill="1" applyBorder="1" applyAlignment="1">
      <alignment horizontal="left"/>
    </xf>
    <xf numFmtId="0" fontId="3" fillId="11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43" fontId="9" fillId="11" borderId="2" xfId="1" applyFont="1" applyFill="1" applyBorder="1"/>
    <xf numFmtId="0" fontId="5" fillId="3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2" xfId="0" quotePrefix="1" applyFont="1" applyBorder="1" applyAlignment="1">
      <alignment horizontal="left" vertical="center"/>
    </xf>
    <xf numFmtId="14" fontId="7" fillId="0" borderId="2" xfId="0" applyNumberFormat="1" applyFont="1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2" fillId="12" borderId="3" xfId="0" applyFont="1" applyFill="1" applyBorder="1" applyAlignment="1">
      <alignment horizontal="left" wrapText="1"/>
    </xf>
    <xf numFmtId="49" fontId="3" fillId="0" borderId="2" xfId="0" applyNumberFormat="1" applyFont="1" applyBorder="1" applyAlignment="1">
      <alignment horizontal="left" vertical="center"/>
    </xf>
    <xf numFmtId="0" fontId="13" fillId="7" borderId="3" xfId="0" applyFont="1" applyFill="1" applyBorder="1" applyAlignment="1">
      <alignment horizontal="left" wrapText="1"/>
    </xf>
    <xf numFmtId="0" fontId="0" fillId="0" borderId="2" xfId="0" applyBorder="1"/>
    <xf numFmtId="0" fontId="3" fillId="0" borderId="5" xfId="0" applyFont="1" applyBorder="1"/>
    <xf numFmtId="0" fontId="2" fillId="13" borderId="3" xfId="0" applyFont="1" applyFill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4" fontId="0" fillId="0" borderId="2" xfId="0" applyNumberFormat="1" applyBorder="1"/>
    <xf numFmtId="0" fontId="22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4" fontId="0" fillId="0" borderId="0" xfId="0" applyNumberFormat="1"/>
    <xf numFmtId="43" fontId="22" fillId="0" borderId="2" xfId="1" applyFont="1" applyBorder="1" applyAlignment="1">
      <alignment horizontal="center" vertical="center"/>
    </xf>
    <xf numFmtId="43" fontId="0" fillId="0" borderId="2" xfId="1" applyFont="1" applyBorder="1"/>
    <xf numFmtId="0" fontId="0" fillId="6" borderId="0" xfId="0" applyFill="1"/>
    <xf numFmtId="4" fontId="3" fillId="0" borderId="7" xfId="0" applyNumberFormat="1" applyFont="1" applyBorder="1" applyAlignment="1">
      <alignment horizontal="center" vertical="center"/>
    </xf>
    <xf numFmtId="43" fontId="0" fillId="0" borderId="2" xfId="1" applyFont="1" applyFill="1" applyBorder="1"/>
    <xf numFmtId="0" fontId="9" fillId="0" borderId="7" xfId="0" applyFont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43" fontId="9" fillId="0" borderId="0" xfId="1" applyFont="1"/>
    <xf numFmtId="0" fontId="8" fillId="0" borderId="2" xfId="0" applyFont="1" applyBorder="1" applyAlignment="1">
      <alignment horizontal="center" vertical="center"/>
    </xf>
    <xf numFmtId="43" fontId="8" fillId="0" borderId="2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4" borderId="2" xfId="0" applyFont="1" applyFill="1" applyBorder="1"/>
    <xf numFmtId="4" fontId="7" fillId="4" borderId="2" xfId="0" applyNumberFormat="1" applyFont="1" applyFill="1" applyBorder="1"/>
    <xf numFmtId="43" fontId="7" fillId="4" borderId="2" xfId="1" applyFont="1" applyFill="1" applyBorder="1"/>
    <xf numFmtId="0" fontId="7" fillId="4" borderId="0" xfId="0" applyFont="1" applyFill="1"/>
    <xf numFmtId="43" fontId="7" fillId="4" borderId="0" xfId="1" applyFont="1" applyFill="1"/>
    <xf numFmtId="43" fontId="9" fillId="0" borderId="2" xfId="1" applyFont="1" applyFill="1" applyBorder="1"/>
    <xf numFmtId="0" fontId="9" fillId="4" borderId="2" xfId="0" applyFont="1" applyFill="1" applyBorder="1"/>
    <xf numFmtId="4" fontId="9" fillId="4" borderId="2" xfId="0" applyNumberFormat="1" applyFont="1" applyFill="1" applyBorder="1"/>
    <xf numFmtId="43" fontId="9" fillId="4" borderId="2" xfId="1" applyFont="1" applyFill="1" applyBorder="1"/>
    <xf numFmtId="0" fontId="9" fillId="2" borderId="2" xfId="0" applyFont="1" applyFill="1" applyBorder="1"/>
    <xf numFmtId="4" fontId="9" fillId="2" borderId="2" xfId="0" applyNumberFormat="1" applyFont="1" applyFill="1" applyBorder="1"/>
    <xf numFmtId="43" fontId="9" fillId="2" borderId="2" xfId="1" applyFont="1" applyFill="1" applyBorder="1"/>
    <xf numFmtId="43" fontId="9" fillId="0" borderId="0" xfId="0" applyNumberFormat="1" applyFont="1"/>
    <xf numFmtId="0" fontId="9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4" fontId="0" fillId="14" borderId="0" xfId="0" applyNumberFormat="1" applyFill="1"/>
    <xf numFmtId="0" fontId="0" fillId="14" borderId="0" xfId="0" applyFill="1"/>
    <xf numFmtId="0" fontId="18" fillId="6" borderId="0" xfId="0" applyFont="1" applyFill="1"/>
    <xf numFmtId="0" fontId="0" fillId="8" borderId="0" xfId="0" applyFill="1"/>
    <xf numFmtId="0" fontId="0" fillId="8" borderId="1" xfId="0" applyFill="1" applyBorder="1"/>
    <xf numFmtId="0" fontId="0" fillId="14" borderId="1" xfId="0" applyFill="1" applyBorder="1"/>
    <xf numFmtId="0" fontId="0" fillId="9" borderId="0" xfId="0" applyFill="1"/>
    <xf numFmtId="0" fontId="0" fillId="4" borderId="0" xfId="0" applyFill="1"/>
    <xf numFmtId="0" fontId="0" fillId="9" borderId="1" xfId="0" applyFill="1" applyBorder="1"/>
    <xf numFmtId="4" fontId="0" fillId="0" borderId="17" xfId="0" applyNumberFormat="1" applyBorder="1"/>
    <xf numFmtId="0" fontId="2" fillId="11" borderId="2" xfId="0" quotePrefix="1" applyFont="1" applyFill="1" applyBorder="1" applyAlignment="1">
      <alignment horizontal="center"/>
    </xf>
    <xf numFmtId="43" fontId="2" fillId="3" borderId="2" xfId="2" applyFont="1" applyFill="1" applyBorder="1" applyAlignment="1">
      <alignment horizontal="center"/>
    </xf>
    <xf numFmtId="43" fontId="8" fillId="15" borderId="4" xfId="1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/>
    </xf>
    <xf numFmtId="0" fontId="9" fillId="16" borderId="2" xfId="0" applyFont="1" applyFill="1" applyBorder="1" applyAlignment="1">
      <alignment horizontal="center"/>
    </xf>
    <xf numFmtId="0" fontId="9" fillId="15" borderId="5" xfId="0" applyFont="1" applyFill="1" applyBorder="1" applyAlignment="1">
      <alignment horizontal="center"/>
    </xf>
    <xf numFmtId="43" fontId="9" fillId="15" borderId="2" xfId="1" applyFont="1" applyFill="1" applyBorder="1"/>
    <xf numFmtId="43" fontId="9" fillId="16" borderId="2" xfId="1" applyFont="1" applyFill="1" applyBorder="1"/>
    <xf numFmtId="17" fontId="2" fillId="5" borderId="2" xfId="0" applyNumberFormat="1" applyFont="1" applyFill="1" applyBorder="1" applyAlignment="1">
      <alignment horizontal="center"/>
    </xf>
    <xf numFmtId="13" fontId="9" fillId="0" borderId="2" xfId="1" applyNumberFormat="1" applyFont="1" applyBorder="1"/>
    <xf numFmtId="43" fontId="9" fillId="0" borderId="2" xfId="1" quotePrefix="1" applyFont="1" applyBorder="1"/>
    <xf numFmtId="13" fontId="9" fillId="0" borderId="2" xfId="1" applyNumberFormat="1" applyFont="1" applyFill="1" applyBorder="1" applyAlignment="1">
      <alignment horizontal="left"/>
    </xf>
    <xf numFmtId="43" fontId="9" fillId="2" borderId="2" xfId="1" applyFont="1" applyFill="1" applyBorder="1" applyAlignment="1"/>
    <xf numFmtId="43" fontId="9" fillId="2" borderId="2" xfId="1" quotePrefix="1" applyFont="1" applyFill="1" applyBorder="1" applyAlignment="1"/>
    <xf numFmtId="0" fontId="9" fillId="2" borderId="0" xfId="0" applyFont="1" applyFill="1"/>
    <xf numFmtId="43" fontId="9" fillId="0" borderId="7" xfId="1" applyFont="1" applyBorder="1"/>
    <xf numFmtId="43" fontId="9" fillId="15" borderId="7" xfId="1" applyFont="1" applyFill="1" applyBorder="1"/>
    <xf numFmtId="43" fontId="9" fillId="16" borderId="7" xfId="1" applyFont="1" applyFill="1" applyBorder="1"/>
    <xf numFmtId="187" fontId="9" fillId="0" borderId="2" xfId="1" applyNumberFormat="1" applyFont="1" applyBorder="1"/>
    <xf numFmtId="187" fontId="9" fillId="15" borderId="2" xfId="1" applyNumberFormat="1" applyFont="1" applyFill="1" applyBorder="1"/>
    <xf numFmtId="187" fontId="9" fillId="16" borderId="2" xfId="1" applyNumberFormat="1" applyFont="1" applyFill="1" applyBorder="1"/>
    <xf numFmtId="17" fontId="2" fillId="5" borderId="3" xfId="0" applyNumberFormat="1" applyFont="1" applyFill="1" applyBorder="1" applyAlignment="1">
      <alignment horizontal="center"/>
    </xf>
    <xf numFmtId="0" fontId="9" fillId="0" borderId="3" xfId="0" applyFont="1" applyBorder="1"/>
    <xf numFmtId="187" fontId="8" fillId="0" borderId="4" xfId="1" applyNumberFormat="1" applyFont="1" applyBorder="1" applyAlignment="1"/>
    <xf numFmtId="187" fontId="8" fillId="15" borderId="4" xfId="1" applyNumberFormat="1" applyFont="1" applyFill="1" applyBorder="1" applyAlignment="1"/>
    <xf numFmtId="187" fontId="9" fillId="16" borderId="3" xfId="1" applyNumberFormat="1" applyFont="1" applyFill="1" applyBorder="1" applyAlignment="1"/>
    <xf numFmtId="187" fontId="9" fillId="16" borderId="4" xfId="1" applyNumberFormat="1" applyFont="1" applyFill="1" applyBorder="1" applyAlignment="1"/>
    <xf numFmtId="43" fontId="8" fillId="16" borderId="4" xfId="1" applyFont="1" applyFill="1" applyBorder="1" applyAlignment="1"/>
    <xf numFmtId="187" fontId="9" fillId="16" borderId="5" xfId="1" applyNumberFormat="1" applyFont="1" applyFill="1" applyBorder="1" applyAlignment="1"/>
    <xf numFmtId="187" fontId="9" fillId="15" borderId="4" xfId="1" applyNumberFormat="1" applyFont="1" applyFill="1" applyBorder="1" applyAlignment="1"/>
    <xf numFmtId="187" fontId="9" fillId="0" borderId="4" xfId="1" applyNumberFormat="1" applyFont="1" applyBorder="1" applyAlignment="1"/>
    <xf numFmtId="187" fontId="9" fillId="0" borderId="5" xfId="1" applyNumberFormat="1" applyFont="1" applyBorder="1" applyAlignment="1"/>
    <xf numFmtId="43" fontId="9" fillId="0" borderId="4" xfId="1" applyFont="1" applyBorder="1" applyAlignment="1"/>
    <xf numFmtId="0" fontId="23" fillId="0" borderId="0" xfId="0" applyFont="1"/>
    <xf numFmtId="43" fontId="23" fillId="0" borderId="0" xfId="0" applyNumberFormat="1" applyFont="1"/>
    <xf numFmtId="43" fontId="9" fillId="0" borderId="2" xfId="0" applyNumberFormat="1" applyFont="1" applyBorder="1"/>
    <xf numFmtId="17" fontId="23" fillId="0" borderId="0" xfId="0" applyNumberFormat="1" applyFont="1" applyAlignment="1">
      <alignment horizontal="right"/>
    </xf>
    <xf numFmtId="17" fontId="23" fillId="0" borderId="0" xfId="0" applyNumberFormat="1" applyFont="1"/>
    <xf numFmtId="3" fontId="23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9" fillId="0" borderId="1" xfId="0" applyFont="1" applyBorder="1"/>
    <xf numFmtId="0" fontId="8" fillId="11" borderId="13" xfId="0" applyFont="1" applyFill="1" applyBorder="1"/>
    <xf numFmtId="0" fontId="2" fillId="11" borderId="13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3" fontId="9" fillId="0" borderId="1" xfId="1" applyFont="1" applyFill="1" applyBorder="1"/>
    <xf numFmtId="0" fontId="8" fillId="0" borderId="2" xfId="0" applyFont="1" applyBorder="1"/>
    <xf numFmtId="0" fontId="2" fillId="0" borderId="2" xfId="0" applyFont="1" applyBorder="1" applyAlignment="1">
      <alignment wrapText="1"/>
    </xf>
    <xf numFmtId="0" fontId="9" fillId="0" borderId="2" xfId="0" quotePrefix="1" applyFont="1" applyBorder="1" applyAlignment="1">
      <alignment horizontal="center"/>
    </xf>
    <xf numFmtId="43" fontId="9" fillId="0" borderId="2" xfId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16" borderId="2" xfId="0" quotePrefix="1" applyFont="1" applyFill="1" applyBorder="1" applyAlignment="1">
      <alignment horizontal="center"/>
    </xf>
    <xf numFmtId="43" fontId="9" fillId="16" borderId="2" xfId="1" quotePrefix="1" applyFont="1" applyFill="1" applyBorder="1"/>
    <xf numFmtId="43" fontId="9" fillId="16" borderId="2" xfId="1" applyFont="1" applyFill="1" applyBorder="1" applyAlignment="1">
      <alignment horizontal="center"/>
    </xf>
    <xf numFmtId="13" fontId="9" fillId="0" borderId="2" xfId="1" quotePrefix="1" applyNumberFormat="1" applyFont="1" applyBorder="1"/>
    <xf numFmtId="0" fontId="2" fillId="11" borderId="1" xfId="0" applyFont="1" applyFill="1" applyBorder="1" applyAlignment="1">
      <alignment wrapText="1"/>
    </xf>
    <xf numFmtId="0" fontId="2" fillId="11" borderId="1" xfId="0" quotePrefix="1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quotePrefix="1" applyFont="1" applyBorder="1" applyAlignment="1">
      <alignment horizontal="left"/>
    </xf>
    <xf numFmtId="43" fontId="23" fillId="0" borderId="0" xfId="1" applyFont="1"/>
    <xf numFmtId="43" fontId="3" fillId="0" borderId="2" xfId="0" applyNumberFormat="1" applyFont="1" applyBorder="1" applyAlignment="1">
      <alignment horizontal="right"/>
    </xf>
    <xf numFmtId="0" fontId="5" fillId="8" borderId="5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left" wrapText="1"/>
    </xf>
    <xf numFmtId="0" fontId="3" fillId="0" borderId="7" xfId="0" quotePrefix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0" fontId="9" fillId="8" borderId="3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4" fontId="24" fillId="0" borderId="1" xfId="0" applyNumberFormat="1" applyFont="1" applyBorder="1"/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2" fontId="5" fillId="5" borderId="2" xfId="0" applyNumberFormat="1" applyFont="1" applyFill="1" applyBorder="1" applyAlignment="1">
      <alignment horizontal="center"/>
    </xf>
    <xf numFmtId="43" fontId="3" fillId="0" borderId="2" xfId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3" fontId="3" fillId="0" borderId="22" xfId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left" vertical="center"/>
    </xf>
    <xf numFmtId="49" fontId="3" fillId="2" borderId="25" xfId="0" applyNumberFormat="1" applyFont="1" applyFill="1" applyBorder="1" applyAlignment="1">
      <alignment horizontal="center" vertical="center"/>
    </xf>
    <xf numFmtId="43" fontId="3" fillId="2" borderId="25" xfId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left" vertical="center"/>
    </xf>
    <xf numFmtId="49" fontId="3" fillId="2" borderId="13" xfId="0" applyNumberFormat="1" applyFont="1" applyFill="1" applyBorder="1" applyAlignment="1">
      <alignment horizontal="left" vertical="center"/>
    </xf>
    <xf numFmtId="49" fontId="3" fillId="2" borderId="13" xfId="0" applyNumberFormat="1" applyFont="1" applyFill="1" applyBorder="1" applyAlignment="1">
      <alignment horizontal="center" vertical="center"/>
    </xf>
    <xf numFmtId="43" fontId="3" fillId="2" borderId="13" xfId="1" applyFont="1" applyFill="1" applyBorder="1" applyAlignment="1">
      <alignment horizontal="center" vertical="center"/>
    </xf>
    <xf numFmtId="49" fontId="3" fillId="10" borderId="13" xfId="0" applyNumberFormat="1" applyFont="1" applyFill="1" applyBorder="1" applyAlignment="1">
      <alignment horizontal="left" vertical="center"/>
    </xf>
    <xf numFmtId="49" fontId="3" fillId="10" borderId="13" xfId="0" applyNumberFormat="1" applyFont="1" applyFill="1" applyBorder="1" applyAlignment="1">
      <alignment horizontal="center" vertical="center"/>
    </xf>
    <xf numFmtId="43" fontId="3" fillId="10" borderId="13" xfId="1" applyFont="1" applyFill="1" applyBorder="1" applyAlignment="1">
      <alignment horizontal="center" vertical="center"/>
    </xf>
    <xf numFmtId="0" fontId="0" fillId="10" borderId="0" xfId="0" applyFill="1"/>
    <xf numFmtId="49" fontId="3" fillId="0" borderId="2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left" vertical="center" wrapText="1"/>
    </xf>
    <xf numFmtId="49" fontId="3" fillId="10" borderId="14" xfId="0" applyNumberFormat="1" applyFont="1" applyFill="1" applyBorder="1" applyAlignment="1">
      <alignment horizontal="left" vertical="center"/>
    </xf>
    <xf numFmtId="49" fontId="3" fillId="10" borderId="14" xfId="0" applyNumberFormat="1" applyFont="1" applyFill="1" applyBorder="1" applyAlignment="1">
      <alignment horizontal="center" vertical="center"/>
    </xf>
    <xf numFmtId="43" fontId="3" fillId="10" borderId="14" xfId="1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3" fontId="2" fillId="0" borderId="2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right" vertical="center"/>
    </xf>
    <xf numFmtId="43" fontId="3" fillId="8" borderId="26" xfId="1" applyFont="1" applyFill="1" applyBorder="1" applyAlignment="1">
      <alignment horizontal="center" vertical="center"/>
    </xf>
    <xf numFmtId="49" fontId="3" fillId="8" borderId="28" xfId="0" applyNumberFormat="1" applyFont="1" applyFill="1" applyBorder="1" applyAlignment="1">
      <alignment horizontal="center" vertical="center"/>
    </xf>
    <xf numFmtId="49" fontId="3" fillId="8" borderId="28" xfId="0" applyNumberFormat="1" applyFont="1" applyFill="1" applyBorder="1" applyAlignment="1">
      <alignment horizontal="left" vertical="center"/>
    </xf>
    <xf numFmtId="49" fontId="3" fillId="10" borderId="13" xfId="0" applyNumberFormat="1" applyFont="1" applyFill="1" applyBorder="1" applyAlignment="1">
      <alignment horizontal="right" vertical="center"/>
    </xf>
    <xf numFmtId="49" fontId="3" fillId="10" borderId="14" xfId="0" applyNumberFormat="1" applyFont="1" applyFill="1" applyBorder="1" applyAlignment="1">
      <alignment horizontal="right" vertical="center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3" fontId="3" fillId="2" borderId="7" xfId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17" borderId="24" xfId="0" applyNumberFormat="1" applyFont="1" applyFill="1" applyBorder="1" applyAlignment="1">
      <alignment horizontal="left" vertical="center" wrapText="1"/>
    </xf>
    <xf numFmtId="49" fontId="3" fillId="17" borderId="25" xfId="0" applyNumberFormat="1" applyFont="1" applyFill="1" applyBorder="1" applyAlignment="1">
      <alignment horizontal="center" vertical="center"/>
    </xf>
    <xf numFmtId="43" fontId="3" fillId="17" borderId="25" xfId="1" applyFont="1" applyFill="1" applyBorder="1" applyAlignment="1">
      <alignment horizontal="center" vertical="center"/>
    </xf>
    <xf numFmtId="49" fontId="3" fillId="17" borderId="25" xfId="0" applyNumberFormat="1" applyFont="1" applyFill="1" applyBorder="1" applyAlignment="1">
      <alignment horizontal="left" vertical="center"/>
    </xf>
    <xf numFmtId="43" fontId="3" fillId="0" borderId="13" xfId="1" applyFont="1" applyBorder="1" applyAlignment="1">
      <alignment horizontal="right" vertical="center"/>
    </xf>
    <xf numFmtId="43" fontId="3" fillId="2" borderId="13" xfId="1" applyFont="1" applyFill="1" applyBorder="1" applyAlignment="1">
      <alignment horizontal="right" vertical="center"/>
    </xf>
    <xf numFmtId="43" fontId="2" fillId="0" borderId="25" xfId="1" applyFont="1" applyBorder="1" applyAlignment="1">
      <alignment horizontal="center" vertical="center"/>
    </xf>
    <xf numFmtId="49" fontId="3" fillId="12" borderId="2" xfId="0" applyNumberFormat="1" applyFont="1" applyFill="1" applyBorder="1" applyAlignment="1">
      <alignment horizontal="center" vertical="center"/>
    </xf>
    <xf numFmtId="43" fontId="3" fillId="2" borderId="2" xfId="0" applyNumberFormat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43" fontId="3" fillId="8" borderId="2" xfId="0" applyNumberFormat="1" applyFont="1" applyFill="1" applyBorder="1" applyAlignment="1">
      <alignment horizontal="center" vertical="center"/>
    </xf>
    <xf numFmtId="2" fontId="3" fillId="8" borderId="2" xfId="0" applyNumberFormat="1" applyFont="1" applyFill="1" applyBorder="1" applyAlignment="1">
      <alignment horizontal="center" vertical="center"/>
    </xf>
    <xf numFmtId="43" fontId="7" fillId="0" borderId="13" xfId="1" applyFont="1" applyBorder="1" applyAlignment="1">
      <alignment horizontal="right" vertical="center"/>
    </xf>
    <xf numFmtId="49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49" fontId="27" fillId="18" borderId="2" xfId="6" applyNumberFormat="1" applyFont="1" applyFill="1" applyBorder="1" applyAlignment="1">
      <alignment horizontal="center" vertical="center" wrapText="1"/>
    </xf>
    <xf numFmtId="0" fontId="27" fillId="18" borderId="2" xfId="6" applyFont="1" applyFill="1" applyBorder="1" applyAlignment="1">
      <alignment horizontal="center" vertical="center" wrapText="1"/>
    </xf>
    <xf numFmtId="49" fontId="27" fillId="19" borderId="2" xfId="6" applyNumberFormat="1" applyFont="1" applyFill="1" applyBorder="1" applyAlignment="1">
      <alignment horizontal="left" vertical="top"/>
    </xf>
    <xf numFmtId="0" fontId="27" fillId="19" borderId="2" xfId="6" applyFont="1" applyFill="1" applyBorder="1" applyAlignment="1">
      <alignment horizontal="center" vertical="top" wrapText="1"/>
    </xf>
    <xf numFmtId="0" fontId="8" fillId="20" borderId="12" xfId="0" applyFont="1" applyFill="1" applyBorder="1"/>
    <xf numFmtId="0" fontId="8" fillId="20" borderId="2" xfId="0" applyFont="1" applyFill="1" applyBorder="1"/>
    <xf numFmtId="49" fontId="9" fillId="0" borderId="2" xfId="0" applyNumberFormat="1" applyFont="1" applyBorder="1" applyAlignment="1">
      <alignment horizontal="center" vertical="top" wrapText="1"/>
    </xf>
    <xf numFmtId="0" fontId="28" fillId="0" borderId="2" xfId="0" applyFont="1" applyBorder="1" applyAlignment="1">
      <alignment vertical="top" wrapText="1"/>
    </xf>
    <xf numFmtId="0" fontId="29" fillId="20" borderId="2" xfId="0" applyFont="1" applyFill="1" applyBorder="1"/>
    <xf numFmtId="0" fontId="9" fillId="0" borderId="2" xfId="0" applyFont="1" applyBorder="1" applyAlignment="1">
      <alignment vertical="top" wrapText="1"/>
    </xf>
    <xf numFmtId="49" fontId="8" fillId="12" borderId="2" xfId="0" applyNumberFormat="1" applyFont="1" applyFill="1" applyBorder="1" applyAlignment="1">
      <alignment horizontal="left" vertical="top"/>
    </xf>
    <xf numFmtId="0" fontId="9" fillId="12" borderId="2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wrapText="1"/>
    </xf>
    <xf numFmtId="0" fontId="8" fillId="12" borderId="2" xfId="0" applyFont="1" applyFill="1" applyBorder="1" applyAlignment="1">
      <alignment horizontal="center" vertical="top" wrapText="1"/>
    </xf>
    <xf numFmtId="49" fontId="8" fillId="12" borderId="2" xfId="0" applyNumberFormat="1" applyFont="1" applyFill="1" applyBorder="1" applyAlignment="1">
      <alignment vertical="top"/>
    </xf>
    <xf numFmtId="0" fontId="9" fillId="12" borderId="2" xfId="0" applyFont="1" applyFill="1" applyBorder="1" applyAlignment="1">
      <alignment horizontal="fill" vertical="center" wrapText="1"/>
    </xf>
    <xf numFmtId="0" fontId="30" fillId="20" borderId="2" xfId="0" applyFont="1" applyFill="1" applyBorder="1"/>
    <xf numFmtId="0" fontId="8" fillId="20" borderId="2" xfId="0" applyFont="1" applyFill="1" applyBorder="1" applyAlignment="1">
      <alignment horizontal="justify" vertical="center" wrapText="1"/>
    </xf>
    <xf numFmtId="0" fontId="8" fillId="20" borderId="2" xfId="0" applyFont="1" applyFill="1" applyBorder="1" applyAlignment="1">
      <alignment vertical="top" wrapText="1"/>
    </xf>
    <xf numFmtId="0" fontId="28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8" fillId="20" borderId="2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/>
    <xf numFmtId="0" fontId="9" fillId="0" borderId="0" xfId="0" applyFont="1" applyAlignment="1">
      <alignment vertical="top"/>
    </xf>
    <xf numFmtId="43" fontId="2" fillId="2" borderId="2" xfId="2" applyFont="1" applyFill="1" applyBorder="1" applyAlignment="1">
      <alignment horizontal="center" vertical="center"/>
    </xf>
    <xf numFmtId="43" fontId="2" fillId="2" borderId="2" xfId="2" applyFont="1" applyFill="1" applyBorder="1" applyAlignment="1">
      <alignment horizontal="center"/>
    </xf>
    <xf numFmtId="43" fontId="2" fillId="2" borderId="2" xfId="1" applyFont="1" applyFill="1" applyBorder="1" applyAlignment="1">
      <alignment horizontal="right"/>
    </xf>
    <xf numFmtId="43" fontId="2" fillId="8" borderId="2" xfId="2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2" fontId="9" fillId="0" borderId="0" xfId="0" applyNumberFormat="1" applyFont="1"/>
    <xf numFmtId="4" fontId="7" fillId="0" borderId="2" xfId="0" applyNumberFormat="1" applyFont="1" applyFill="1" applyBorder="1"/>
    <xf numFmtId="0" fontId="9" fillId="0" borderId="0" xfId="0" applyFont="1" applyFill="1"/>
    <xf numFmtId="43" fontId="2" fillId="0" borderId="0" xfId="1" applyFont="1"/>
    <xf numFmtId="43" fontId="3" fillId="0" borderId="0" xfId="0" applyNumberFormat="1" applyFont="1"/>
    <xf numFmtId="43" fontId="2" fillId="0" borderId="0" xfId="0" applyNumberFormat="1" applyFont="1"/>
    <xf numFmtId="0" fontId="0" fillId="0" borderId="0" xfId="0" applyFill="1"/>
    <xf numFmtId="43" fontId="0" fillId="0" borderId="0" xfId="1" applyFont="1" applyFill="1"/>
    <xf numFmtId="0" fontId="0" fillId="0" borderId="2" xfId="0" applyFill="1" applyBorder="1"/>
    <xf numFmtId="4" fontId="0" fillId="0" borderId="2" xfId="0" applyNumberFormat="1" applyFill="1" applyBorder="1"/>
    <xf numFmtId="43" fontId="22" fillId="0" borderId="2" xfId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4" fontId="0" fillId="0" borderId="0" xfId="0" applyNumberFormat="1" applyFill="1"/>
    <xf numFmtId="0" fontId="18" fillId="0" borderId="2" xfId="0" applyFont="1" applyFill="1" applyBorder="1"/>
    <xf numFmtId="4" fontId="18" fillId="0" borderId="2" xfId="0" applyNumberFormat="1" applyFont="1" applyFill="1" applyBorder="1"/>
    <xf numFmtId="0" fontId="18" fillId="0" borderId="14" xfId="0" applyFont="1" applyFill="1" applyBorder="1"/>
    <xf numFmtId="43" fontId="18" fillId="0" borderId="0" xfId="1" applyFont="1" applyFill="1" applyBorder="1"/>
    <xf numFmtId="4" fontId="18" fillId="0" borderId="0" xfId="0" applyNumberFormat="1" applyFont="1" applyFill="1"/>
    <xf numFmtId="0" fontId="18" fillId="0" borderId="0" xfId="0" applyFont="1" applyFill="1"/>
    <xf numFmtId="43" fontId="18" fillId="0" borderId="2" xfId="1" applyFont="1" applyFill="1" applyBorder="1"/>
    <xf numFmtId="17" fontId="0" fillId="0" borderId="1" xfId="1" applyNumberFormat="1" applyFont="1" applyFill="1" applyBorder="1"/>
    <xf numFmtId="43" fontId="0" fillId="0" borderId="1" xfId="1" applyFont="1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17" fontId="0" fillId="0" borderId="1" xfId="0" applyNumberFormat="1" applyFill="1" applyBorder="1"/>
    <xf numFmtId="0" fontId="0" fillId="0" borderId="14" xfId="0" applyFill="1" applyBorder="1"/>
    <xf numFmtId="0" fontId="21" fillId="0" borderId="15" xfId="5" applyFont="1" applyFill="1" applyBorder="1" applyAlignment="1">
      <alignment vertical="center" wrapText="1"/>
    </xf>
    <xf numFmtId="4" fontId="21" fillId="0" borderId="16" xfId="5" applyNumberFormat="1" applyFont="1" applyFill="1" applyBorder="1" applyAlignment="1">
      <alignment horizontal="right" vertical="top" wrapText="1"/>
    </xf>
    <xf numFmtId="0" fontId="0" fillId="0" borderId="13" xfId="0" applyFill="1" applyBorder="1"/>
    <xf numFmtId="43" fontId="0" fillId="0" borderId="13" xfId="1" applyFont="1" applyFill="1" applyBorder="1"/>
    <xf numFmtId="0" fontId="19" fillId="0" borderId="1" xfId="5" applyFont="1" applyFill="1" applyAlignment="1">
      <alignment vertical="center" wrapText="1"/>
    </xf>
    <xf numFmtId="0" fontId="20" fillId="0" borderId="1" xfId="5" applyFont="1" applyFill="1" applyAlignment="1">
      <alignment vertical="center" wrapText="1"/>
    </xf>
    <xf numFmtId="0" fontId="7" fillId="0" borderId="2" xfId="0" quotePrefix="1" applyFont="1" applyBorder="1" applyAlignment="1">
      <alignment horizontal="left"/>
    </xf>
    <xf numFmtId="43" fontId="7" fillId="0" borderId="2" xfId="1" applyFont="1" applyBorder="1"/>
    <xf numFmtId="43" fontId="7" fillId="0" borderId="2" xfId="1" applyFont="1" applyBorder="1" applyAlignment="1">
      <alignment horizontal="right"/>
    </xf>
    <xf numFmtId="43" fontId="7" fillId="0" borderId="2" xfId="0" applyNumberFormat="1" applyFont="1" applyBorder="1"/>
    <xf numFmtId="0" fontId="7" fillId="0" borderId="7" xfId="0" applyFont="1" applyBorder="1" applyAlignment="1">
      <alignment wrapText="1"/>
    </xf>
    <xf numFmtId="0" fontId="9" fillId="0" borderId="3" xfId="0" applyFont="1" applyBorder="1" applyAlignment="1">
      <alignment horizontal="left" wrapText="1"/>
    </xf>
    <xf numFmtId="0" fontId="9" fillId="0" borderId="2" xfId="0" quotePrefix="1" applyFont="1" applyBorder="1" applyAlignment="1">
      <alignment horizontal="left"/>
    </xf>
    <xf numFmtId="14" fontId="9" fillId="0" borderId="2" xfId="0" applyNumberFormat="1" applyFont="1" applyBorder="1" applyAlignment="1">
      <alignment horizontal="center"/>
    </xf>
    <xf numFmtId="43" fontId="9" fillId="0" borderId="2" xfId="1" applyFont="1" applyBorder="1" applyAlignment="1">
      <alignment horizontal="right"/>
    </xf>
    <xf numFmtId="0" fontId="5" fillId="3" borderId="3" xfId="0" quotePrefix="1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49" fontId="3" fillId="0" borderId="2" xfId="0" quotePrefix="1" applyNumberFormat="1" applyFont="1" applyBorder="1" applyAlignment="1">
      <alignment horizontal="left" vertical="center"/>
    </xf>
    <xf numFmtId="0" fontId="28" fillId="0" borderId="0" xfId="0" applyFont="1"/>
    <xf numFmtId="0" fontId="29" fillId="0" borderId="2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9" fillId="0" borderId="7" xfId="0" applyFont="1" applyBorder="1"/>
    <xf numFmtId="4" fontId="29" fillId="0" borderId="7" xfId="0" applyNumberFormat="1" applyFont="1" applyFill="1" applyBorder="1"/>
    <xf numFmtId="188" fontId="33" fillId="0" borderId="7" xfId="1" applyNumberFormat="1" applyFont="1" applyFill="1" applyBorder="1"/>
    <xf numFmtId="188" fontId="29" fillId="0" borderId="7" xfId="1" applyNumberFormat="1" applyFont="1" applyFill="1" applyBorder="1"/>
    <xf numFmtId="4" fontId="5" fillId="0" borderId="7" xfId="0" applyNumberFormat="1" applyFont="1" applyFill="1" applyBorder="1"/>
    <xf numFmtId="0" fontId="29" fillId="0" borderId="34" xfId="0" applyFont="1" applyFill="1" applyBorder="1" applyAlignment="1">
      <alignment horizontal="center"/>
    </xf>
    <xf numFmtId="0" fontId="29" fillId="0" borderId="34" xfId="0" applyFont="1" applyBorder="1"/>
    <xf numFmtId="4" fontId="5" fillId="0" borderId="34" xfId="0" applyNumberFormat="1" applyFont="1" applyFill="1" applyBorder="1"/>
    <xf numFmtId="188" fontId="33" fillId="0" borderId="34" xfId="1" applyNumberFormat="1" applyFont="1" applyFill="1" applyBorder="1"/>
    <xf numFmtId="188" fontId="29" fillId="0" borderId="34" xfId="1" applyNumberFormat="1" applyFont="1" applyFill="1" applyBorder="1"/>
    <xf numFmtId="4" fontId="29" fillId="0" borderId="34" xfId="0" applyNumberFormat="1" applyFont="1" applyFill="1" applyBorder="1"/>
    <xf numFmtId="0" fontId="34" fillId="0" borderId="0" xfId="0" applyFont="1"/>
    <xf numFmtId="0" fontId="5" fillId="0" borderId="34" xfId="0" applyFont="1" applyFill="1" applyBorder="1" applyAlignment="1">
      <alignment horizontal="center"/>
    </xf>
    <xf numFmtId="0" fontId="29" fillId="0" borderId="34" xfId="0" applyFont="1" applyFill="1" applyBorder="1"/>
    <xf numFmtId="0" fontId="28" fillId="0" borderId="0" xfId="0" applyFont="1" applyFill="1"/>
    <xf numFmtId="188" fontId="33" fillId="0" borderId="34" xfId="1" applyNumberFormat="1" applyFont="1" applyBorder="1"/>
    <xf numFmtId="0" fontId="29" fillId="0" borderId="35" xfId="0" applyFont="1" applyBorder="1"/>
    <xf numFmtId="4" fontId="5" fillId="0" borderId="35" xfId="0" applyNumberFormat="1" applyFont="1" applyFill="1" applyBorder="1"/>
    <xf numFmtId="188" fontId="33" fillId="0" borderId="35" xfId="1" applyNumberFormat="1" applyFont="1" applyBorder="1"/>
    <xf numFmtId="188" fontId="29" fillId="0" borderId="35" xfId="1" applyNumberFormat="1" applyFont="1" applyFill="1" applyBorder="1"/>
    <xf numFmtId="4" fontId="29" fillId="0" borderId="35" xfId="0" applyNumberFormat="1" applyFont="1" applyFill="1" applyBorder="1"/>
    <xf numFmtId="0" fontId="28" fillId="0" borderId="2" xfId="0" applyFont="1" applyFill="1" applyBorder="1" applyAlignment="1">
      <alignment horizontal="center"/>
    </xf>
    <xf numFmtId="43" fontId="29" fillId="0" borderId="2" xfId="1" applyFont="1" applyFill="1" applyBorder="1"/>
    <xf numFmtId="0" fontId="2" fillId="11" borderId="2" xfId="0" quotePrefix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12" borderId="2" xfId="0" applyFill="1" applyBorder="1" applyAlignment="1">
      <alignment horizontal="center"/>
    </xf>
    <xf numFmtId="0" fontId="0" fillId="12" borderId="2" xfId="0" applyFill="1" applyBorder="1"/>
    <xf numFmtId="43" fontId="0" fillId="12" borderId="2" xfId="1" applyFont="1" applyFill="1" applyBorder="1"/>
    <xf numFmtId="17" fontId="0" fillId="0" borderId="2" xfId="0" applyNumberFormat="1" applyBorder="1"/>
    <xf numFmtId="0" fontId="5" fillId="0" borderId="36" xfId="0" applyFont="1" applyFill="1" applyBorder="1" applyAlignment="1">
      <alignment horizontal="center"/>
    </xf>
    <xf numFmtId="0" fontId="29" fillId="0" borderId="36" xfId="0" applyFont="1" applyFill="1" applyBorder="1"/>
    <xf numFmtId="4" fontId="5" fillId="0" borderId="36" xfId="0" applyNumberFormat="1" applyFont="1" applyFill="1" applyBorder="1"/>
    <xf numFmtId="188" fontId="33" fillId="0" borderId="36" xfId="1" applyNumberFormat="1" applyFont="1" applyFill="1" applyBorder="1"/>
    <xf numFmtId="188" fontId="29" fillId="0" borderId="36" xfId="1" applyNumberFormat="1" applyFont="1" applyFill="1" applyBorder="1"/>
    <xf numFmtId="4" fontId="29" fillId="0" borderId="36" xfId="0" applyNumberFormat="1" applyFont="1" applyFill="1" applyBorder="1"/>
    <xf numFmtId="0" fontId="5" fillId="0" borderId="2" xfId="0" applyFont="1" applyFill="1" applyBorder="1" applyAlignment="1">
      <alignment horizontal="center"/>
    </xf>
    <xf numFmtId="0" fontId="29" fillId="0" borderId="2" xfId="0" applyFont="1" applyFill="1" applyBorder="1"/>
    <xf numFmtId="0" fontId="0" fillId="12" borderId="6" xfId="0" applyFill="1" applyBorder="1" applyAlignment="1">
      <alignment vertical="center"/>
    </xf>
    <xf numFmtId="0" fontId="0" fillId="12" borderId="3" xfId="0" applyFill="1" applyBorder="1" applyAlignment="1"/>
    <xf numFmtId="0" fontId="0" fillId="12" borderId="4" xfId="0" applyFill="1" applyBorder="1" applyAlignment="1"/>
    <xf numFmtId="0" fontId="0" fillId="12" borderId="5" xfId="0" applyFill="1" applyBorder="1" applyAlignment="1"/>
    <xf numFmtId="4" fontId="2" fillId="0" borderId="2" xfId="0" applyNumberFormat="1" applyFont="1" applyBorder="1" applyAlignment="1">
      <alignment horizontal="right"/>
    </xf>
    <xf numFmtId="0" fontId="35" fillId="0" borderId="2" xfId="0" applyFont="1" applyBorder="1" applyAlignment="1">
      <alignment horizontal="center"/>
    </xf>
    <xf numFmtId="4" fontId="3" fillId="2" borderId="10" xfId="0" applyNumberFormat="1" applyFont="1" applyFill="1" applyBorder="1" applyAlignment="1">
      <alignment horizontal="right" vertical="center"/>
    </xf>
    <xf numFmtId="4" fontId="3" fillId="2" borderId="10" xfId="0" applyNumberFormat="1" applyFont="1" applyFill="1" applyBorder="1"/>
    <xf numFmtId="4" fontId="3" fillId="2" borderId="7" xfId="0" applyNumberFormat="1" applyFont="1" applyFill="1" applyBorder="1" applyAlignment="1">
      <alignment horizontal="right"/>
    </xf>
    <xf numFmtId="4" fontId="3" fillId="16" borderId="10" xfId="0" applyNumberFormat="1" applyFont="1" applyFill="1" applyBorder="1" applyAlignment="1">
      <alignment horizontal="right" vertical="center"/>
    </xf>
    <xf numFmtId="4" fontId="3" fillId="16" borderId="7" xfId="0" applyNumberFormat="1" applyFont="1" applyFill="1" applyBorder="1" applyAlignment="1">
      <alignment horizontal="right"/>
    </xf>
    <xf numFmtId="4" fontId="3" fillId="16" borderId="7" xfId="0" applyNumberFormat="1" applyFont="1" applyFill="1" applyBorder="1" applyAlignment="1">
      <alignment horizontal="right" vertical="center"/>
    </xf>
    <xf numFmtId="4" fontId="3" fillId="16" borderId="10" xfId="0" applyNumberFormat="1" applyFont="1" applyFill="1" applyBorder="1"/>
    <xf numFmtId="0" fontId="0" fillId="0" borderId="0" xfId="0" applyAlignment="1">
      <alignment horizontal="center" vertical="center"/>
    </xf>
    <xf numFmtId="4" fontId="3" fillId="16" borderId="2" xfId="0" applyNumberFormat="1" applyFont="1" applyFill="1" applyBorder="1" applyAlignment="1">
      <alignment horizontal="right" vertical="center"/>
    </xf>
    <xf numFmtId="0" fontId="36" fillId="0" borderId="2" xfId="0" applyFont="1" applyBorder="1"/>
    <xf numFmtId="4" fontId="36" fillId="0" borderId="2" xfId="0" applyNumberFormat="1" applyFont="1" applyBorder="1"/>
    <xf numFmtId="4" fontId="36" fillId="0" borderId="2" xfId="0" applyNumberFormat="1" applyFont="1" applyBorder="1" applyAlignment="1">
      <alignment horizontal="center"/>
    </xf>
    <xf numFmtId="0" fontId="36" fillId="0" borderId="2" xfId="0" applyFont="1" applyBorder="1" applyAlignment="1">
      <alignment horizontal="left" vertical="center" wrapText="1"/>
    </xf>
    <xf numFmtId="4" fontId="36" fillId="0" borderId="2" xfId="0" applyNumberFormat="1" applyFont="1" applyBorder="1" applyAlignment="1">
      <alignment horizontal="center" vertical="center"/>
    </xf>
    <xf numFmtId="4" fontId="35" fillId="0" borderId="2" xfId="0" applyNumberFormat="1" applyFont="1" applyBorder="1"/>
    <xf numFmtId="4" fontId="35" fillId="0" borderId="2" xfId="0" applyNumberFormat="1" applyFont="1" applyBorder="1" applyAlignment="1">
      <alignment horizontal="center"/>
    </xf>
    <xf numFmtId="0" fontId="35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40" fillId="10" borderId="2" xfId="0" applyFont="1" applyFill="1" applyBorder="1" applyAlignment="1">
      <alignment horizontal="center" vertical="center"/>
    </xf>
    <xf numFmtId="0" fontId="40" fillId="10" borderId="2" xfId="0" applyFont="1" applyFill="1" applyBorder="1"/>
    <xf numFmtId="4" fontId="40" fillId="10" borderId="2" xfId="0" applyNumberFormat="1" applyFont="1" applyFill="1" applyBorder="1"/>
    <xf numFmtId="4" fontId="41" fillId="10" borderId="2" xfId="1" applyNumberFormat="1" applyFont="1" applyFill="1" applyBorder="1" applyAlignment="1">
      <alignment horizontal="right" vertical="center"/>
    </xf>
    <xf numFmtId="4" fontId="40" fillId="10" borderId="2" xfId="1" applyNumberFormat="1" applyFont="1" applyFill="1" applyBorder="1" applyAlignment="1">
      <alignment horizontal="center" vertical="center"/>
    </xf>
    <xf numFmtId="0" fontId="40" fillId="10" borderId="2" xfId="0" applyFont="1" applyFill="1" applyBorder="1" applyAlignment="1">
      <alignment horizontal="right"/>
    </xf>
    <xf numFmtId="0" fontId="40" fillId="10" borderId="2" xfId="0" applyFont="1" applyFill="1" applyBorder="1" applyAlignment="1">
      <alignment horizontal="left" vertical="center"/>
    </xf>
    <xf numFmtId="4" fontId="40" fillId="10" borderId="2" xfId="1" applyNumberFormat="1" applyFont="1" applyFill="1" applyBorder="1" applyAlignment="1">
      <alignment horizontal="right" vertical="center"/>
    </xf>
    <xf numFmtId="0" fontId="42" fillId="10" borderId="2" xfId="0" applyFont="1" applyFill="1" applyBorder="1" applyAlignment="1">
      <alignment horizontal="right" vertical="center"/>
    </xf>
    <xf numFmtId="0" fontId="40" fillId="10" borderId="2" xfId="0" applyFont="1" applyFill="1" applyBorder="1" applyAlignment="1">
      <alignment horizontal="right" vertical="center"/>
    </xf>
    <xf numFmtId="0" fontId="39" fillId="10" borderId="2" xfId="0" applyFont="1" applyFill="1" applyBorder="1" applyAlignment="1">
      <alignment horizontal="center" vertical="center"/>
    </xf>
    <xf numFmtId="0" fontId="39" fillId="10" borderId="2" xfId="0" applyFont="1" applyFill="1" applyBorder="1" applyAlignment="1">
      <alignment horizontal="left" vertical="center"/>
    </xf>
    <xf numFmtId="4" fontId="39" fillId="10" borderId="2" xfId="1" applyNumberFormat="1" applyFont="1" applyFill="1" applyBorder="1" applyAlignment="1">
      <alignment horizontal="right" vertical="center"/>
    </xf>
    <xf numFmtId="0" fontId="39" fillId="10" borderId="2" xfId="0" applyFont="1" applyFill="1" applyBorder="1" applyAlignment="1">
      <alignment horizontal="right" vertical="center"/>
    </xf>
    <xf numFmtId="0" fontId="39" fillId="0" borderId="2" xfId="0" applyFont="1" applyBorder="1" applyAlignment="1">
      <alignment horizontal="center" vertical="center"/>
    </xf>
    <xf numFmtId="4" fontId="37" fillId="0" borderId="2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4" fontId="37" fillId="0" borderId="1" xfId="1" applyNumberFormat="1" applyFont="1" applyBorder="1" applyAlignment="1">
      <alignment horizontal="right" vertical="center"/>
    </xf>
    <xf numFmtId="4" fontId="37" fillId="0" borderId="1" xfId="1" applyNumberFormat="1" applyFont="1" applyBorder="1" applyAlignment="1">
      <alignment horizontal="center" vertical="center"/>
    </xf>
    <xf numFmtId="4" fontId="37" fillId="0" borderId="1" xfId="1" applyNumberFormat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43" fontId="9" fillId="0" borderId="2" xfId="0" applyNumberFormat="1" applyFont="1" applyFill="1" applyBorder="1"/>
    <xf numFmtId="43" fontId="9" fillId="0" borderId="0" xfId="0" applyNumberFormat="1" applyFont="1" applyFill="1"/>
    <xf numFmtId="2" fontId="9" fillId="0" borderId="0" xfId="0" applyNumberFormat="1" applyFont="1" applyFill="1"/>
    <xf numFmtId="0" fontId="9" fillId="0" borderId="2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quotePrefix="1" applyFont="1" applyFill="1" applyBorder="1" applyAlignment="1">
      <alignment horizontal="center"/>
    </xf>
    <xf numFmtId="0" fontId="9" fillId="0" borderId="1" xfId="0" applyFont="1" applyFill="1" applyBorder="1"/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/>
    </xf>
    <xf numFmtId="43" fontId="9" fillId="0" borderId="1" xfId="0" applyNumberFormat="1" applyFont="1" applyBorder="1" applyAlignment="1">
      <alignment horizontal="center" vertical="center" wrapText="1"/>
    </xf>
    <xf numFmtId="43" fontId="15" fillId="7" borderId="2" xfId="1" applyFont="1" applyFill="1" applyBorder="1" applyAlignment="1" applyProtection="1">
      <alignment horizontal="center" vertical="center" wrapText="1"/>
    </xf>
    <xf numFmtId="0" fontId="43" fillId="0" borderId="2" xfId="0" quotePrefix="1" applyFont="1" applyBorder="1"/>
    <xf numFmtId="0" fontId="43" fillId="0" borderId="0" xfId="0" quotePrefix="1" applyFont="1"/>
    <xf numFmtId="4" fontId="3" fillId="0" borderId="0" xfId="0" applyNumberFormat="1" applyFont="1"/>
    <xf numFmtId="43" fontId="3" fillId="0" borderId="2" xfId="1" quotePrefix="1" applyFont="1" applyBorder="1"/>
    <xf numFmtId="43" fontId="43" fillId="0" borderId="2" xfId="1" quotePrefix="1" applyFont="1" applyBorder="1"/>
    <xf numFmtId="14" fontId="9" fillId="0" borderId="0" xfId="0" applyNumberFormat="1" applyFont="1"/>
    <xf numFmtId="4" fontId="43" fillId="0" borderId="0" xfId="0" applyNumberFormat="1" applyFont="1"/>
    <xf numFmtId="4" fontId="17" fillId="8" borderId="2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43" fontId="29" fillId="0" borderId="1" xfId="1" applyFont="1" applyFill="1" applyBorder="1"/>
    <xf numFmtId="0" fontId="0" fillId="12" borderId="11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189" fontId="0" fillId="12" borderId="3" xfId="0" applyNumberFormat="1" applyFill="1" applyBorder="1" applyAlignment="1">
      <alignment horizontal="center"/>
    </xf>
    <xf numFmtId="189" fontId="0" fillId="12" borderId="4" xfId="0" applyNumberFormat="1" applyFill="1" applyBorder="1" applyAlignment="1">
      <alignment horizontal="center"/>
    </xf>
    <xf numFmtId="189" fontId="0" fillId="12" borderId="5" xfId="0" applyNumberFormat="1" applyFill="1" applyBorder="1" applyAlignment="1">
      <alignment horizontal="center"/>
    </xf>
    <xf numFmtId="0" fontId="0" fillId="12" borderId="7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6" fillId="2" borderId="13" xfId="0" quotePrefix="1" applyFont="1" applyFill="1" applyBorder="1" applyAlignment="1">
      <alignment wrapText="1"/>
    </xf>
    <xf numFmtId="0" fontId="6" fillId="2" borderId="2" xfId="0" quotePrefix="1" applyFont="1" applyFill="1" applyBorder="1" applyAlignment="1">
      <alignment horizontal="left"/>
    </xf>
    <xf numFmtId="0" fontId="6" fillId="2" borderId="2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wrapText="1"/>
    </xf>
    <xf numFmtId="4" fontId="3" fillId="0" borderId="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4" fontId="5" fillId="0" borderId="2" xfId="0" applyNumberFormat="1" applyFont="1" applyFill="1" applyBorder="1"/>
    <xf numFmtId="0" fontId="29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17" fontId="5" fillId="2" borderId="2" xfId="0" applyNumberFormat="1" applyFont="1" applyFill="1" applyBorder="1" applyAlignment="1">
      <alignment horizontal="center"/>
    </xf>
    <xf numFmtId="43" fontId="5" fillId="2" borderId="2" xfId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0" fillId="2" borderId="0" xfId="0" applyFill="1"/>
    <xf numFmtId="4" fontId="39" fillId="10" borderId="2" xfId="1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center" vertical="center"/>
    </xf>
    <xf numFmtId="43" fontId="2" fillId="0" borderId="1" xfId="1" applyFont="1" applyFill="1" applyBorder="1" applyAlignment="1">
      <alignment horizontal="right"/>
    </xf>
    <xf numFmtId="2" fontId="3" fillId="0" borderId="2" xfId="1" applyNumberFormat="1" applyFont="1" applyBorder="1" applyAlignment="1">
      <alignment horizontal="right"/>
    </xf>
    <xf numFmtId="2" fontId="3" fillId="0" borderId="2" xfId="0" applyNumberFormat="1" applyFont="1" applyBorder="1"/>
    <xf numFmtId="2" fontId="3" fillId="0" borderId="2" xfId="1" applyNumberFormat="1" applyFont="1" applyBorder="1"/>
    <xf numFmtId="0" fontId="3" fillId="0" borderId="14" xfId="0" applyFont="1" applyBorder="1" applyAlignment="1">
      <alignment vertical="center"/>
    </xf>
    <xf numFmtId="14" fontId="3" fillId="0" borderId="2" xfId="0" applyNumberFormat="1" applyFont="1" applyBorder="1" applyAlignment="1">
      <alignment horizontal="left"/>
    </xf>
    <xf numFmtId="43" fontId="44" fillId="0" borderId="1" xfId="1" applyFont="1" applyFill="1" applyBorder="1" applyAlignment="1">
      <alignment horizontal="center"/>
    </xf>
    <xf numFmtId="4" fontId="44" fillId="0" borderId="1" xfId="0" applyNumberFormat="1" applyFont="1" applyBorder="1" applyAlignment="1">
      <alignment horizontal="right"/>
    </xf>
    <xf numFmtId="0" fontId="9" fillId="21" borderId="0" xfId="0" applyFont="1" applyFill="1"/>
    <xf numFmtId="43" fontId="9" fillId="21" borderId="2" xfId="1" applyFont="1" applyFill="1" applyBorder="1"/>
    <xf numFmtId="13" fontId="9" fillId="21" borderId="2" xfId="1" quotePrefix="1" applyNumberFormat="1" applyFont="1" applyFill="1" applyBorder="1"/>
    <xf numFmtId="43" fontId="9" fillId="21" borderId="2" xfId="1" quotePrefix="1" applyFont="1" applyFill="1" applyBorder="1"/>
    <xf numFmtId="13" fontId="9" fillId="21" borderId="2" xfId="1" applyNumberFormat="1" applyFont="1" applyFill="1" applyBorder="1" applyAlignment="1">
      <alignment horizontal="left"/>
    </xf>
    <xf numFmtId="43" fontId="3" fillId="0" borderId="2" xfId="1" applyFont="1" applyFill="1" applyBorder="1"/>
    <xf numFmtId="0" fontId="2" fillId="0" borderId="1" xfId="0" applyFont="1" applyBorder="1" applyAlignment="1">
      <alignment horizontal="center" vertical="center"/>
    </xf>
    <xf numFmtId="43" fontId="45" fillId="0" borderId="2" xfId="1" applyFont="1" applyFill="1" applyBorder="1"/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28" fillId="22" borderId="2" xfId="0" applyFont="1" applyFill="1" applyBorder="1" applyAlignment="1">
      <alignment horizontal="center"/>
    </xf>
    <xf numFmtId="0" fontId="28" fillId="22" borderId="2" xfId="0" applyFont="1" applyFill="1" applyBorder="1"/>
    <xf numFmtId="0" fontId="29" fillId="0" borderId="14" xfId="0" applyFont="1" applyBorder="1"/>
    <xf numFmtId="43" fontId="8" fillId="22" borderId="2" xfId="1" applyFont="1" applyFill="1" applyBorder="1"/>
    <xf numFmtId="0" fontId="38" fillId="0" borderId="6" xfId="0" applyFont="1" applyBorder="1" applyAlignment="1">
      <alignment horizontal="center" vertical="center"/>
    </xf>
    <xf numFmtId="4" fontId="41" fillId="10" borderId="2" xfId="1" applyNumberFormat="1" applyFont="1" applyFill="1" applyBorder="1" applyAlignment="1">
      <alignment vertical="center"/>
    </xf>
    <xf numFmtId="4" fontId="39" fillId="0" borderId="2" xfId="1" applyNumberFormat="1" applyFont="1" applyBorder="1" applyAlignment="1">
      <alignment horizontal="right" vertical="center"/>
    </xf>
    <xf numFmtId="4" fontId="37" fillId="0" borderId="2" xfId="1" applyNumberFormat="1" applyFont="1" applyBorder="1" applyAlignment="1">
      <alignment horizontal="right" vertical="center"/>
    </xf>
    <xf numFmtId="4" fontId="39" fillId="0" borderId="2" xfId="1" applyNumberFormat="1" applyFont="1" applyBorder="1" applyAlignment="1">
      <alignment horizontal="center" vertical="center"/>
    </xf>
    <xf numFmtId="4" fontId="39" fillId="0" borderId="2" xfId="1" applyNumberFormat="1" applyFont="1" applyBorder="1" applyAlignment="1">
      <alignment vertical="center"/>
    </xf>
    <xf numFmtId="4" fontId="37" fillId="0" borderId="2" xfId="1" applyNumberFormat="1" applyFont="1" applyBorder="1" applyAlignment="1">
      <alignment horizontal="center" vertical="center"/>
    </xf>
    <xf numFmtId="0" fontId="42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" fontId="5" fillId="0" borderId="2" xfId="0" applyNumberFormat="1" applyFont="1" applyBorder="1"/>
    <xf numFmtId="0" fontId="5" fillId="10" borderId="2" xfId="0" applyFont="1" applyFill="1" applyBorder="1" applyAlignment="1">
      <alignment horizontal="left" vertical="center"/>
    </xf>
    <xf numFmtId="4" fontId="33" fillId="0" borderId="34" xfId="0" applyNumberFormat="1" applyFont="1" applyFill="1" applyBorder="1"/>
    <xf numFmtId="0" fontId="49" fillId="0" borderId="2" xfId="0" applyFont="1" applyBorder="1" applyAlignment="1">
      <alignment horizontal="center"/>
    </xf>
    <xf numFmtId="0" fontId="28" fillId="0" borderId="2" xfId="0" applyFont="1" applyBorder="1"/>
    <xf numFmtId="43" fontId="28" fillId="0" borderId="2" xfId="0" applyNumberFormat="1" applyFont="1" applyBorder="1"/>
    <xf numFmtId="43" fontId="29" fillId="0" borderId="2" xfId="1" applyFont="1" applyBorder="1"/>
    <xf numFmtId="43" fontId="46" fillId="0" borderId="2" xfId="1" applyFont="1" applyFill="1" applyBorder="1"/>
    <xf numFmtId="0" fontId="29" fillId="0" borderId="2" xfId="0" applyFont="1" applyBorder="1"/>
    <xf numFmtId="0" fontId="28" fillId="0" borderId="2" xfId="0" applyFont="1" applyBorder="1" applyAlignment="1">
      <alignment horizontal="center"/>
    </xf>
    <xf numFmtId="0" fontId="47" fillId="0" borderId="2" xfId="0" applyFont="1" applyFill="1" applyBorder="1"/>
    <xf numFmtId="43" fontId="47" fillId="0" borderId="2" xfId="1" applyFont="1" applyFill="1" applyBorder="1"/>
    <xf numFmtId="43" fontId="28" fillId="0" borderId="2" xfId="1" applyFont="1" applyBorder="1"/>
    <xf numFmtId="0" fontId="47" fillId="0" borderId="2" xfId="0" applyFont="1" applyBorder="1"/>
    <xf numFmtId="43" fontId="28" fillId="0" borderId="2" xfId="1" applyFont="1" applyFill="1" applyBorder="1"/>
    <xf numFmtId="0" fontId="42" fillId="0" borderId="2" xfId="0" applyFont="1" applyFill="1" applyBorder="1"/>
    <xf numFmtId="4" fontId="42" fillId="0" borderId="2" xfId="0" applyNumberFormat="1" applyFont="1" applyFill="1" applyBorder="1"/>
    <xf numFmtId="0" fontId="40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4" fontId="40" fillId="0" borderId="2" xfId="0" applyNumberFormat="1" applyFont="1" applyFill="1" applyBorder="1"/>
    <xf numFmtId="4" fontId="41" fillId="0" borderId="2" xfId="1" applyNumberFormat="1" applyFont="1" applyFill="1" applyBorder="1" applyAlignment="1">
      <alignment horizontal="right" vertical="center"/>
    </xf>
    <xf numFmtId="4" fontId="40" fillId="0" borderId="2" xfId="1" applyNumberFormat="1" applyFont="1" applyFill="1" applyBorder="1" applyAlignment="1">
      <alignment horizontal="center" vertical="center"/>
    </xf>
    <xf numFmtId="4" fontId="40" fillId="0" borderId="2" xfId="1" applyNumberFormat="1" applyFont="1" applyFill="1" applyBorder="1" applyAlignment="1">
      <alignment horizontal="right" vertical="center"/>
    </xf>
    <xf numFmtId="0" fontId="42" fillId="0" borderId="2" xfId="0" applyFont="1" applyFill="1" applyBorder="1" applyAlignment="1">
      <alignment horizontal="right" vertical="center"/>
    </xf>
    <xf numFmtId="0" fontId="50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right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left" vertical="center"/>
    </xf>
    <xf numFmtId="4" fontId="39" fillId="0" borderId="2" xfId="1" applyNumberFormat="1" applyFont="1" applyFill="1" applyBorder="1" applyAlignment="1">
      <alignment horizontal="right" vertical="center"/>
    </xf>
    <xf numFmtId="0" fontId="39" fillId="0" borderId="2" xfId="0" applyFont="1" applyFill="1" applyBorder="1" applyAlignment="1">
      <alignment horizontal="right" vertical="center"/>
    </xf>
    <xf numFmtId="4" fontId="39" fillId="0" borderId="2" xfId="1" applyNumberFormat="1" applyFont="1" applyFill="1" applyBorder="1" applyAlignment="1">
      <alignment horizontal="center" vertical="center"/>
    </xf>
    <xf numFmtId="0" fontId="47" fillId="0" borderId="0" xfId="0" applyFont="1" applyFill="1"/>
    <xf numFmtId="2" fontId="47" fillId="0" borderId="2" xfId="0" applyNumberFormat="1" applyFont="1" applyFill="1" applyBorder="1"/>
    <xf numFmtId="4" fontId="47" fillId="0" borderId="0" xfId="0" applyNumberFormat="1" applyFont="1" applyFill="1"/>
    <xf numFmtId="43" fontId="29" fillId="0" borderId="7" xfId="1" applyFont="1" applyBorder="1" applyAlignment="1">
      <alignment horizontal="right"/>
    </xf>
    <xf numFmtId="43" fontId="29" fillId="0" borderId="34" xfId="1" applyFont="1" applyBorder="1" applyAlignment="1">
      <alignment horizontal="right"/>
    </xf>
    <xf numFmtId="43" fontId="29" fillId="0" borderId="34" xfId="1" applyFont="1" applyFill="1" applyBorder="1" applyAlignment="1">
      <alignment horizontal="right"/>
    </xf>
    <xf numFmtId="43" fontId="29" fillId="0" borderId="36" xfId="1" applyFont="1" applyFill="1" applyBorder="1" applyAlignment="1">
      <alignment horizontal="right"/>
    </xf>
    <xf numFmtId="43" fontId="29" fillId="0" borderId="2" xfId="1" applyFont="1" applyFill="1" applyBorder="1" applyAlignment="1">
      <alignment horizontal="right"/>
    </xf>
    <xf numFmtId="43" fontId="29" fillId="0" borderId="35" xfId="1" applyFont="1" applyBorder="1" applyAlignment="1">
      <alignment horizontal="right"/>
    </xf>
    <xf numFmtId="43" fontId="29" fillId="0" borderId="1" xfId="1" applyFont="1" applyFill="1" applyBorder="1" applyAlignment="1">
      <alignment horizontal="right"/>
    </xf>
    <xf numFmtId="0" fontId="49" fillId="0" borderId="2" xfId="0" applyFont="1" applyBorder="1" applyAlignment="1">
      <alignment horizontal="right"/>
    </xf>
    <xf numFmtId="43" fontId="29" fillId="0" borderId="2" xfId="1" applyFont="1" applyBorder="1" applyAlignment="1">
      <alignment horizontal="right"/>
    </xf>
    <xf numFmtId="43" fontId="8" fillId="22" borderId="2" xfId="1" applyFont="1" applyFill="1" applyBorder="1" applyAlignment="1">
      <alignment horizontal="right"/>
    </xf>
    <xf numFmtId="43" fontId="47" fillId="0" borderId="2" xfId="1" applyFont="1" applyFill="1" applyBorder="1" applyAlignment="1">
      <alignment horizontal="right"/>
    </xf>
    <xf numFmtId="43" fontId="28" fillId="22" borderId="2" xfId="1" applyFont="1" applyFill="1" applyBorder="1" applyAlignment="1">
      <alignment horizontal="right"/>
    </xf>
    <xf numFmtId="4" fontId="40" fillId="10" borderId="2" xfId="0" applyNumberFormat="1" applyFont="1" applyFill="1" applyBorder="1" applyAlignment="1">
      <alignment horizontal="right"/>
    </xf>
    <xf numFmtId="4" fontId="40" fillId="0" borderId="2" xfId="0" applyNumberFormat="1" applyFont="1" applyFill="1" applyBorder="1" applyAlignment="1">
      <alignment horizontal="right"/>
    </xf>
    <xf numFmtId="4" fontId="37" fillId="0" borderId="2" xfId="0" applyNumberFormat="1" applyFont="1" applyBorder="1" applyAlignment="1">
      <alignment horizontal="right" vertical="center"/>
    </xf>
    <xf numFmtId="4" fontId="37" fillId="0" borderId="1" xfId="0" applyNumberFormat="1" applyFont="1" applyBorder="1" applyAlignment="1">
      <alignment horizontal="right" vertical="center"/>
    </xf>
    <xf numFmtId="4" fontId="39" fillId="0" borderId="2" xfId="0" applyNumberFormat="1" applyFont="1" applyBorder="1" applyAlignment="1">
      <alignment horizontal="right" vertical="center"/>
    </xf>
    <xf numFmtId="0" fontId="28" fillId="0" borderId="0" xfId="0" applyFont="1" applyAlignment="1">
      <alignment horizontal="right"/>
    </xf>
    <xf numFmtId="0" fontId="5" fillId="0" borderId="41" xfId="0" applyFont="1" applyFill="1" applyBorder="1" applyAlignment="1">
      <alignment horizontal="center"/>
    </xf>
    <xf numFmtId="4" fontId="29" fillId="0" borderId="42" xfId="0" applyNumberFormat="1" applyFont="1" applyFill="1" applyBorder="1"/>
    <xf numFmtId="0" fontId="29" fillId="0" borderId="22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29" fillId="0" borderId="35" xfId="0" applyFont="1" applyFill="1" applyBorder="1"/>
    <xf numFmtId="43" fontId="29" fillId="0" borderId="35" xfId="1" applyFont="1" applyFill="1" applyBorder="1" applyAlignment="1">
      <alignment horizontal="right"/>
    </xf>
    <xf numFmtId="0" fontId="33" fillId="0" borderId="22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4" fontId="29" fillId="0" borderId="48" xfId="0" applyNumberFormat="1" applyFont="1" applyFill="1" applyBorder="1"/>
    <xf numFmtId="0" fontId="28" fillId="0" borderId="24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43" fontId="29" fillId="0" borderId="25" xfId="1" applyFont="1" applyFill="1" applyBorder="1" applyAlignment="1">
      <alignment horizontal="right"/>
    </xf>
    <xf numFmtId="43" fontId="29" fillId="0" borderId="25" xfId="1" applyFont="1" applyFill="1" applyBorder="1"/>
    <xf numFmtId="4" fontId="5" fillId="0" borderId="25" xfId="0" applyNumberFormat="1" applyFont="1" applyFill="1" applyBorder="1"/>
    <xf numFmtId="43" fontId="29" fillId="0" borderId="49" xfId="1" applyFont="1" applyFill="1" applyBorder="1"/>
    <xf numFmtId="0" fontId="0" fillId="0" borderId="2" xfId="0" applyBorder="1" applyAlignment="1">
      <alignment horizontal="left"/>
    </xf>
    <xf numFmtId="0" fontId="51" fillId="0" borderId="50" xfId="0" applyFont="1" applyBorder="1" applyAlignment="1">
      <alignment horizontal="center" vertical="top"/>
    </xf>
    <xf numFmtId="0" fontId="0" fillId="16" borderId="2" xfId="0" applyFill="1" applyBorder="1"/>
    <xf numFmtId="0" fontId="51" fillId="16" borderId="50" xfId="0" applyFont="1" applyFill="1" applyBorder="1" applyAlignment="1">
      <alignment horizontal="center" vertical="top"/>
    </xf>
    <xf numFmtId="0" fontId="51" fillId="23" borderId="50" xfId="0" applyFont="1" applyFill="1" applyBorder="1" applyAlignment="1">
      <alignment horizontal="center" vertical="top"/>
    </xf>
    <xf numFmtId="1" fontId="51" fillId="0" borderId="50" xfId="0" applyNumberFormat="1" applyFont="1" applyBorder="1" applyAlignment="1">
      <alignment horizontal="left" vertical="top"/>
    </xf>
    <xf numFmtId="43" fontId="0" fillId="0" borderId="2" xfId="1" applyFont="1" applyBorder="1" applyAlignment="1">
      <alignment horizontal="left"/>
    </xf>
    <xf numFmtId="0" fontId="0" fillId="0" borderId="0" xfId="0" applyAlignment="1">
      <alignment horizontal="left"/>
    </xf>
    <xf numFmtId="43" fontId="0" fillId="0" borderId="2" xfId="1" applyFont="1" applyBorder="1" applyAlignment="1">
      <alignment horizontal="right"/>
    </xf>
    <xf numFmtId="43" fontId="0" fillId="16" borderId="2" xfId="1" applyFont="1" applyFill="1" applyBorder="1" applyAlignment="1">
      <alignment horizontal="right"/>
    </xf>
    <xf numFmtId="43" fontId="51" fillId="0" borderId="50" xfId="1" applyFont="1" applyBorder="1" applyAlignment="1">
      <alignment horizontal="right" vertical="top"/>
    </xf>
    <xf numFmtId="43" fontId="0" fillId="0" borderId="0" xfId="1" applyFont="1" applyAlignment="1">
      <alignment horizontal="right"/>
    </xf>
    <xf numFmtId="0" fontId="51" fillId="0" borderId="50" xfId="0" applyFont="1" applyBorder="1" applyAlignment="1">
      <alignment horizontal="left" vertical="top"/>
    </xf>
    <xf numFmtId="0" fontId="51" fillId="16" borderId="50" xfId="0" applyFont="1" applyFill="1" applyBorder="1" applyAlignment="1">
      <alignment horizontal="left" vertical="top"/>
    </xf>
    <xf numFmtId="0" fontId="51" fillId="23" borderId="50" xfId="0" applyFont="1" applyFill="1" applyBorder="1" applyAlignment="1">
      <alignment horizontal="left" vertical="top"/>
    </xf>
    <xf numFmtId="43" fontId="0" fillId="16" borderId="1" xfId="1" applyFont="1" applyFill="1" applyBorder="1" applyAlignment="1">
      <alignment horizontal="left"/>
    </xf>
    <xf numFmtId="190" fontId="52" fillId="0" borderId="51" xfId="0" applyNumberFormat="1" applyFont="1" applyBorder="1" applyAlignment="1">
      <alignment horizontal="left" vertical="top"/>
    </xf>
    <xf numFmtId="0" fontId="0" fillId="16" borderId="7" xfId="0" applyFill="1" applyBorder="1"/>
    <xf numFmtId="43" fontId="0" fillId="16" borderId="7" xfId="1" applyFont="1" applyFill="1" applyBorder="1" applyAlignment="1">
      <alignment horizontal="right"/>
    </xf>
    <xf numFmtId="43" fontId="0" fillId="16" borderId="7" xfId="1" applyFont="1" applyFill="1" applyBorder="1" applyAlignment="1">
      <alignment horizontal="left"/>
    </xf>
    <xf numFmtId="43" fontId="0" fillId="0" borderId="1" xfId="1" applyFont="1" applyFill="1" applyBorder="1" applyAlignment="1">
      <alignment horizontal="right"/>
    </xf>
    <xf numFmtId="43" fontId="0" fillId="0" borderId="1" xfId="1" applyFont="1" applyFill="1" applyBorder="1" applyAlignment="1">
      <alignment horizontal="left"/>
    </xf>
    <xf numFmtId="0" fontId="3" fillId="0" borderId="2" xfId="0" quotePrefix="1" applyFont="1" applyBorder="1" applyAlignment="1">
      <alignment horizontal="left" wrapText="1"/>
    </xf>
    <xf numFmtId="0" fontId="3" fillId="16" borderId="2" xfId="0" quotePrefix="1" applyFont="1" applyFill="1" applyBorder="1" applyAlignment="1">
      <alignment horizontal="left" wrapText="1"/>
    </xf>
    <xf numFmtId="0" fontId="0" fillId="16" borderId="2" xfId="0" applyFill="1" applyBorder="1" applyAlignment="1">
      <alignment wrapText="1"/>
    </xf>
    <xf numFmtId="0" fontId="0" fillId="16" borderId="7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NumberFormat="1" applyBorder="1" applyAlignment="1"/>
    <xf numFmtId="0" fontId="0" fillId="16" borderId="2" xfId="0" applyNumberFormat="1" applyFill="1" applyBorder="1" applyAlignment="1"/>
    <xf numFmtId="0" fontId="0" fillId="16" borderId="7" xfId="0" applyNumberFormat="1" applyFill="1" applyBorder="1" applyAlignment="1"/>
    <xf numFmtId="0" fontId="0" fillId="0" borderId="1" xfId="0" applyNumberFormat="1" applyFill="1" applyBorder="1" applyAlignment="1"/>
    <xf numFmtId="0" fontId="0" fillId="0" borderId="0" xfId="0" applyNumberFormat="1" applyAlignment="1"/>
    <xf numFmtId="0" fontId="53" fillId="0" borderId="6" xfId="0" applyFont="1" applyFill="1" applyBorder="1" applyAlignment="1">
      <alignment vertical="center"/>
    </xf>
    <xf numFmtId="0" fontId="40" fillId="0" borderId="13" xfId="0" quotePrefix="1" applyFont="1" applyBorder="1" applyAlignment="1">
      <alignment horizontal="left"/>
    </xf>
    <xf numFmtId="0" fontId="40" fillId="16" borderId="2" xfId="0" quotePrefix="1" applyFont="1" applyFill="1" applyBorder="1" applyAlignment="1">
      <alignment horizontal="left" wrapText="1"/>
    </xf>
    <xf numFmtId="0" fontId="40" fillId="16" borderId="2" xfId="0" quotePrefix="1" applyFont="1" applyFill="1" applyBorder="1" applyAlignment="1">
      <alignment horizontal="left"/>
    </xf>
    <xf numFmtId="0" fontId="40" fillId="0" borderId="2" xfId="0" quotePrefix="1" applyFont="1" applyBorder="1" applyAlignment="1">
      <alignment horizontal="left" wrapText="1"/>
    </xf>
    <xf numFmtId="0" fontId="40" fillId="0" borderId="2" xfId="0" quotePrefix="1" applyFont="1" applyBorder="1" applyAlignment="1">
      <alignment horizontal="left"/>
    </xf>
    <xf numFmtId="0" fontId="54" fillId="0" borderId="2" xfId="0" applyFont="1" applyBorder="1" applyAlignment="1">
      <alignment wrapText="1"/>
    </xf>
    <xf numFmtId="43" fontId="54" fillId="0" borderId="13" xfId="1" applyFont="1" applyBorder="1" applyAlignment="1">
      <alignment horizontal="right"/>
    </xf>
    <xf numFmtId="0" fontId="55" fillId="0" borderId="52" xfId="0" applyNumberFormat="1" applyFont="1" applyBorder="1" applyAlignment="1">
      <alignment vertical="top"/>
    </xf>
    <xf numFmtId="43" fontId="54" fillId="16" borderId="2" xfId="1" applyFont="1" applyFill="1" applyBorder="1" applyAlignment="1">
      <alignment horizontal="right"/>
    </xf>
    <xf numFmtId="0" fontId="54" fillId="16" borderId="2" xfId="0" applyFont="1" applyFill="1" applyBorder="1"/>
    <xf numFmtId="0" fontId="55" fillId="16" borderId="50" xfId="0" applyFont="1" applyFill="1" applyBorder="1" applyAlignment="1">
      <alignment horizontal="center" vertical="top"/>
    </xf>
    <xf numFmtId="43" fontId="54" fillId="0" borderId="2" xfId="1" applyFont="1" applyBorder="1" applyAlignment="1">
      <alignment horizontal="right"/>
    </xf>
    <xf numFmtId="0" fontId="54" fillId="0" borderId="2" xfId="0" applyFont="1" applyBorder="1"/>
    <xf numFmtId="0" fontId="55" fillId="23" borderId="50" xfId="0" applyFont="1" applyFill="1" applyBorder="1" applyAlignment="1">
      <alignment horizontal="center" vertical="top"/>
    </xf>
    <xf numFmtId="0" fontId="55" fillId="0" borderId="50" xfId="0" applyFont="1" applyBorder="1" applyAlignment="1">
      <alignment horizontal="center" vertical="top"/>
    </xf>
    <xf numFmtId="0" fontId="40" fillId="0" borderId="2" xfId="0" quotePrefix="1" applyFont="1" applyBorder="1" applyAlignment="1">
      <alignment horizontal="left" vertical="center"/>
    </xf>
    <xf numFmtId="43" fontId="54" fillId="0" borderId="2" xfId="1" applyFont="1" applyBorder="1" applyAlignment="1">
      <alignment horizontal="right" vertical="center"/>
    </xf>
    <xf numFmtId="43" fontId="35" fillId="0" borderId="2" xfId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43" fontId="40" fillId="0" borderId="2" xfId="1" quotePrefix="1" applyFont="1" applyBorder="1" applyAlignment="1">
      <alignment horizontal="left"/>
    </xf>
    <xf numFmtId="43" fontId="54" fillId="16" borderId="2" xfId="1" applyFont="1" applyFill="1" applyBorder="1"/>
    <xf numFmtId="43" fontId="54" fillId="0" borderId="2" xfId="1" applyFont="1" applyBorder="1"/>
    <xf numFmtId="43" fontId="54" fillId="0" borderId="13" xfId="1" applyFont="1" applyBorder="1"/>
    <xf numFmtId="43" fontId="54" fillId="0" borderId="13" xfId="0" applyNumberFormat="1" applyFont="1" applyBorder="1"/>
    <xf numFmtId="43" fontId="54" fillId="0" borderId="2" xfId="0" applyNumberFormat="1" applyFont="1" applyBorder="1"/>
    <xf numFmtId="0" fontId="3" fillId="0" borderId="18" xfId="0" applyFont="1" applyFill="1" applyBorder="1" applyAlignment="1">
      <alignment horizontal="left" vertical="center" wrapText="1"/>
    </xf>
    <xf numFmtId="13" fontId="9" fillId="21" borderId="2" xfId="1" applyNumberFormat="1" applyFont="1" applyFill="1" applyBorder="1"/>
    <xf numFmtId="43" fontId="33" fillId="0" borderId="2" xfId="1" applyFont="1" applyFill="1" applyBorder="1"/>
    <xf numFmtId="188" fontId="5" fillId="0" borderId="35" xfId="1" applyNumberFormat="1" applyFont="1" applyFill="1" applyBorder="1"/>
    <xf numFmtId="188" fontId="5" fillId="0" borderId="34" xfId="1" applyNumberFormat="1" applyFont="1" applyFill="1" applyBorder="1"/>
    <xf numFmtId="188" fontId="5" fillId="0" borderId="36" xfId="1" applyNumberFormat="1" applyFont="1" applyFill="1" applyBorder="1"/>
    <xf numFmtId="43" fontId="7" fillId="0" borderId="2" xfId="1" applyFont="1" applyBorder="1" applyAlignment="1">
      <alignment horizontal="center"/>
    </xf>
    <xf numFmtId="43" fontId="33" fillId="0" borderId="2" xfId="1" applyFont="1" applyBorder="1"/>
    <xf numFmtId="0" fontId="46" fillId="0" borderId="2" xfId="0" applyFont="1" applyBorder="1" applyAlignment="1">
      <alignment horizontal="center"/>
    </xf>
    <xf numFmtId="0" fontId="46" fillId="0" borderId="2" xfId="0" applyFont="1" applyFill="1" applyBorder="1"/>
    <xf numFmtId="43" fontId="46" fillId="0" borderId="2" xfId="1" applyFont="1" applyFill="1" applyBorder="1" applyAlignment="1">
      <alignment horizontal="right"/>
    </xf>
    <xf numFmtId="43" fontId="46" fillId="0" borderId="2" xfId="1" applyFont="1" applyBorder="1"/>
    <xf numFmtId="0" fontId="46" fillId="0" borderId="2" xfId="0" applyFont="1" applyBorder="1"/>
    <xf numFmtId="43" fontId="46" fillId="0" borderId="2" xfId="0" applyNumberFormat="1" applyFont="1" applyBorder="1"/>
    <xf numFmtId="0" fontId="46" fillId="0" borderId="0" xfId="0" applyFont="1"/>
    <xf numFmtId="0" fontId="49" fillId="0" borderId="6" xfId="0" applyFont="1" applyBorder="1" applyAlignment="1">
      <alignment horizontal="center" wrapText="1"/>
    </xf>
    <xf numFmtId="0" fontId="3" fillId="0" borderId="2" xfId="0" applyFont="1" applyBorder="1" applyAlignment="1">
      <alignment vertic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4" fontId="7" fillId="0" borderId="2" xfId="0" applyNumberFormat="1" applyFont="1" applyBorder="1"/>
    <xf numFmtId="0" fontId="2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/>
    <xf numFmtId="4" fontId="3" fillId="9" borderId="2" xfId="0" applyNumberFormat="1" applyFont="1" applyFill="1" applyBorder="1"/>
    <xf numFmtId="4" fontId="2" fillId="2" borderId="2" xfId="0" applyNumberFormat="1" applyFont="1" applyFill="1" applyBorder="1"/>
    <xf numFmtId="4" fontId="3" fillId="0" borderId="0" xfId="0" applyNumberFormat="1" applyFont="1" applyFill="1"/>
    <xf numFmtId="0" fontId="3" fillId="0" borderId="0" xfId="0" applyFont="1" applyFill="1"/>
    <xf numFmtId="0" fontId="28" fillId="0" borderId="1" xfId="0" applyFont="1" applyBorder="1"/>
    <xf numFmtId="43" fontId="3" fillId="0" borderId="13" xfId="0" applyNumberFormat="1" applyFont="1" applyBorder="1" applyAlignment="1">
      <alignment horizontal="center" vertical="center"/>
    </xf>
    <xf numFmtId="43" fontId="3" fillId="0" borderId="13" xfId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43" fontId="3" fillId="0" borderId="13" xfId="1" applyFont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" fontId="57" fillId="0" borderId="0" xfId="0" applyNumberFormat="1" applyFont="1"/>
    <xf numFmtId="43" fontId="7" fillId="0" borderId="2" xfId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4" fontId="57" fillId="0" borderId="2" xfId="0" applyNumberFormat="1" applyFont="1" applyBorder="1"/>
    <xf numFmtId="43" fontId="5" fillId="0" borderId="2" xfId="1" applyFont="1" applyFill="1" applyBorder="1"/>
    <xf numFmtId="43" fontId="3" fillId="0" borderId="13" xfId="1" applyFont="1" applyBorder="1" applyAlignment="1">
      <alignment horizontal="center"/>
    </xf>
    <xf numFmtId="43" fontId="47" fillId="0" borderId="0" xfId="1" applyNumberFormat="1" applyFont="1" applyFill="1"/>
    <xf numFmtId="2" fontId="28" fillId="0" borderId="0" xfId="0" applyNumberFormat="1" applyFont="1"/>
    <xf numFmtId="2" fontId="28" fillId="0" borderId="0" xfId="0" applyNumberFormat="1" applyFont="1" applyFill="1"/>
    <xf numFmtId="2" fontId="28" fillId="0" borderId="1" xfId="0" applyNumberFormat="1" applyFont="1" applyBorder="1"/>
    <xf numFmtId="2" fontId="8" fillId="0" borderId="0" xfId="0" applyNumberFormat="1" applyFont="1"/>
    <xf numFmtId="2" fontId="46" fillId="0" borderId="0" xfId="0" applyNumberFormat="1" applyFont="1"/>
    <xf numFmtId="2" fontId="47" fillId="0" borderId="0" xfId="0" applyNumberFormat="1" applyFont="1" applyFill="1"/>
    <xf numFmtId="2" fontId="0" fillId="0" borderId="0" xfId="0" applyNumberFormat="1"/>
    <xf numFmtId="2" fontId="0" fillId="10" borderId="0" xfId="0" applyNumberFormat="1" applyFill="1"/>
    <xf numFmtId="0" fontId="49" fillId="0" borderId="2" xfId="0" applyFont="1" applyBorder="1" applyAlignment="1">
      <alignment horizontal="center" vertical="center"/>
    </xf>
    <xf numFmtId="0" fontId="54" fillId="0" borderId="3" xfId="0" applyFont="1" applyBorder="1" applyAlignment="1">
      <alignment wrapText="1"/>
    </xf>
    <xf numFmtId="0" fontId="40" fillId="0" borderId="5" xfId="0" quotePrefix="1" applyFont="1" applyBorder="1" applyAlignment="1">
      <alignment horizontal="left"/>
    </xf>
    <xf numFmtId="43" fontId="3" fillId="0" borderId="2" xfId="0" applyNumberFormat="1" applyFont="1" applyBorder="1" applyAlignment="1">
      <alignment vertical="center"/>
    </xf>
    <xf numFmtId="0" fontId="40" fillId="0" borderId="2" xfId="0" quotePrefix="1" applyFont="1" applyFill="1" applyBorder="1" applyAlignment="1">
      <alignment horizontal="left" wrapText="1"/>
    </xf>
    <xf numFmtId="0" fontId="40" fillId="0" borderId="2" xfId="0" quotePrefix="1" applyFont="1" applyFill="1" applyBorder="1" applyAlignment="1">
      <alignment horizontal="left"/>
    </xf>
    <xf numFmtId="43" fontId="54" fillId="0" borderId="2" xfId="1" applyFont="1" applyFill="1" applyBorder="1" applyAlignment="1">
      <alignment horizontal="right"/>
    </xf>
    <xf numFmtId="0" fontId="58" fillId="0" borderId="2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54" fillId="0" borderId="2" xfId="0" applyFont="1" applyBorder="1" applyAlignment="1">
      <alignment horizontal="left"/>
    </xf>
    <xf numFmtId="0" fontId="40" fillId="16" borderId="7" xfId="0" quotePrefix="1" applyFont="1" applyFill="1" applyBorder="1" applyAlignment="1">
      <alignment horizontal="left"/>
    </xf>
    <xf numFmtId="0" fontId="40" fillId="0" borderId="1" xfId="0" quotePrefix="1" applyFont="1" applyFill="1" applyBorder="1" applyAlignment="1">
      <alignment horizontal="left"/>
    </xf>
    <xf numFmtId="43" fontId="54" fillId="0" borderId="0" xfId="1" applyFont="1"/>
    <xf numFmtId="0" fontId="55" fillId="0" borderId="53" xfId="0" applyNumberFormat="1" applyFont="1" applyBorder="1" applyAlignment="1">
      <alignment horizontal="left" vertical="center"/>
    </xf>
    <xf numFmtId="0" fontId="54" fillId="0" borderId="13" xfId="0" applyFont="1" applyBorder="1"/>
    <xf numFmtId="0" fontId="40" fillId="0" borderId="3" xfId="0" quotePrefix="1" applyFont="1" applyBorder="1" applyAlignment="1">
      <alignment horizontal="left" wrapText="1"/>
    </xf>
    <xf numFmtId="43" fontId="54" fillId="16" borderId="7" xfId="1" applyFont="1" applyFill="1" applyBorder="1" applyAlignment="1">
      <alignment horizontal="right"/>
    </xf>
    <xf numFmtId="0" fontId="55" fillId="16" borderId="2" xfId="0" applyFont="1" applyFill="1" applyBorder="1" applyAlignment="1">
      <alignment horizontal="center" vertical="top"/>
    </xf>
    <xf numFmtId="43" fontId="7" fillId="0" borderId="2" xfId="1" quotePrefix="1" applyFont="1" applyBorder="1"/>
    <xf numFmtId="0" fontId="40" fillId="16" borderId="10" xfId="0" quotePrefix="1" applyFont="1" applyFill="1" applyBorder="1" applyAlignment="1">
      <alignment horizontal="center" wrapText="1"/>
    </xf>
    <xf numFmtId="4" fontId="9" fillId="0" borderId="2" xfId="0" applyNumberFormat="1" applyFont="1" applyBorder="1" applyAlignment="1">
      <alignment wrapText="1"/>
    </xf>
    <xf numFmtId="0" fontId="55" fillId="16" borderId="53" xfId="0" applyFont="1" applyFill="1" applyBorder="1" applyAlignment="1">
      <alignment horizontal="center" vertical="top"/>
    </xf>
    <xf numFmtId="43" fontId="40" fillId="0" borderId="2" xfId="1" quotePrefix="1" applyFont="1" applyFill="1" applyBorder="1" applyAlignment="1">
      <alignment horizontal="left"/>
    </xf>
    <xf numFmtId="0" fontId="55" fillId="0" borderId="53" xfId="0" applyFont="1" applyFill="1" applyBorder="1" applyAlignment="1">
      <alignment horizontal="left" vertical="top"/>
    </xf>
    <xf numFmtId="0" fontId="60" fillId="0" borderId="0" xfId="0" quotePrefix="1" applyFont="1"/>
    <xf numFmtId="43" fontId="59" fillId="0" borderId="2" xfId="0" applyNumberFormat="1" applyFont="1" applyBorder="1"/>
    <xf numFmtId="43" fontId="54" fillId="16" borderId="2" xfId="0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0" fillId="0" borderId="18" xfId="0" quotePrefix="1" applyFont="1" applyFill="1" applyBorder="1" applyAlignment="1">
      <alignment horizontal="center" wrapText="1"/>
    </xf>
    <xf numFmtId="43" fontId="54" fillId="0" borderId="7" xfId="1" applyFont="1" applyFill="1" applyBorder="1" applyAlignment="1">
      <alignment horizontal="right"/>
    </xf>
    <xf numFmtId="43" fontId="55" fillId="16" borderId="51" xfId="0" applyNumberFormat="1" applyFont="1" applyFill="1" applyBorder="1" applyAlignment="1">
      <alignment horizontal="center" vertical="top"/>
    </xf>
    <xf numFmtId="0" fontId="55" fillId="0" borderId="53" xfId="0" applyFont="1" applyBorder="1" applyAlignment="1">
      <alignment horizontal="left" vertical="top"/>
    </xf>
    <xf numFmtId="0" fontId="40" fillId="0" borderId="2" xfId="0" quotePrefix="1" applyFont="1" applyFill="1" applyBorder="1" applyAlignment="1">
      <alignment horizontal="center" wrapText="1"/>
    </xf>
    <xf numFmtId="43" fontId="40" fillId="0" borderId="2" xfId="1" quotePrefix="1" applyFont="1" applyFill="1" applyBorder="1" applyAlignment="1">
      <alignment horizont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43" fontId="3" fillId="6" borderId="2" xfId="1" applyFont="1" applyFill="1" applyBorder="1" applyAlignment="1">
      <alignment horizontal="right"/>
    </xf>
    <xf numFmtId="43" fontId="3" fillId="6" borderId="2" xfId="1" applyFont="1" applyFill="1" applyBorder="1"/>
    <xf numFmtId="4" fontId="61" fillId="0" borderId="0" xfId="0" applyNumberFormat="1" applyFont="1" applyAlignment="1">
      <alignment horizontal="center"/>
    </xf>
    <xf numFmtId="4" fontId="9" fillId="0" borderId="8" xfId="0" applyNumberFormat="1" applyFont="1" applyBorder="1" applyAlignment="1">
      <alignment horizontal="right"/>
    </xf>
    <xf numFmtId="0" fontId="55" fillId="0" borderId="52" xfId="0" applyFont="1" applyBorder="1" applyAlignment="1">
      <alignment horizontal="left" vertical="top"/>
    </xf>
    <xf numFmtId="4" fontId="62" fillId="0" borderId="0" xfId="0" applyNumberFormat="1" applyFont="1"/>
    <xf numFmtId="43" fontId="62" fillId="0" borderId="0" xfId="1" applyFont="1"/>
    <xf numFmtId="4" fontId="5" fillId="2" borderId="2" xfId="0" applyNumberFormat="1" applyFont="1" applyFill="1" applyBorder="1"/>
    <xf numFmtId="0" fontId="55" fillId="0" borderId="54" xfId="0" applyNumberFormat="1" applyFont="1" applyBorder="1" applyAlignment="1">
      <alignment vertical="top"/>
    </xf>
    <xf numFmtId="0" fontId="55" fillId="16" borderId="55" xfId="0" applyNumberFormat="1" applyFont="1" applyFill="1" applyBorder="1" applyAlignment="1">
      <alignment vertical="top"/>
    </xf>
    <xf numFmtId="0" fontId="55" fillId="0" borderId="55" xfId="0" applyNumberFormat="1" applyFont="1" applyFill="1" applyBorder="1" applyAlignment="1">
      <alignment vertical="top"/>
    </xf>
    <xf numFmtId="0" fontId="55" fillId="0" borderId="53" xfId="0" applyNumberFormat="1" applyFont="1" applyBorder="1" applyAlignment="1">
      <alignment vertical="top"/>
    </xf>
    <xf numFmtId="0" fontId="54" fillId="0" borderId="5" xfId="1" applyNumberFormat="1" applyFont="1" applyBorder="1" applyAlignment="1"/>
    <xf numFmtId="0" fontId="54" fillId="16" borderId="5" xfId="1" applyNumberFormat="1" applyFont="1" applyFill="1" applyBorder="1" applyAlignment="1"/>
    <xf numFmtId="0" fontId="56" fillId="0" borderId="55" xfId="0" applyNumberFormat="1" applyFont="1" applyBorder="1" applyAlignment="1">
      <alignment vertical="top"/>
    </xf>
    <xf numFmtId="0" fontId="59" fillId="0" borderId="5" xfId="1" applyNumberFormat="1" applyFont="1" applyBorder="1" applyAlignment="1"/>
    <xf numFmtId="0" fontId="55" fillId="0" borderId="5" xfId="0" applyNumberFormat="1" applyFont="1" applyBorder="1" applyAlignment="1">
      <alignment horizontal="left" vertical="center"/>
    </xf>
    <xf numFmtId="0" fontId="55" fillId="0" borderId="54" xfId="0" applyNumberFormat="1" applyFont="1" applyBorder="1" applyAlignment="1">
      <alignment horizontal="left" vertical="center"/>
    </xf>
    <xf numFmtId="0" fontId="55" fillId="23" borderId="53" xfId="0" applyNumberFormat="1" applyFont="1" applyFill="1" applyBorder="1" applyAlignment="1">
      <alignment vertical="top"/>
    </xf>
    <xf numFmtId="0" fontId="55" fillId="0" borderId="55" xfId="0" applyNumberFormat="1" applyFont="1" applyBorder="1" applyAlignment="1">
      <alignment vertical="top"/>
    </xf>
    <xf numFmtId="0" fontId="55" fillId="0" borderId="5" xfId="0" applyNumberFormat="1" applyFont="1" applyBorder="1" applyAlignment="1">
      <alignment vertical="top"/>
    </xf>
    <xf numFmtId="0" fontId="55" fillId="16" borderId="5" xfId="0" applyNumberFormat="1" applyFont="1" applyFill="1" applyBorder="1" applyAlignment="1">
      <alignment vertical="top"/>
    </xf>
    <xf numFmtId="0" fontId="0" fillId="0" borderId="5" xfId="0" applyNumberFormat="1" applyBorder="1" applyAlignment="1"/>
    <xf numFmtId="43" fontId="8" fillId="0" borderId="2" xfId="1" applyNumberFormat="1" applyFont="1" applyBorder="1" applyAlignment="1">
      <alignment horizontal="center" vertical="center" wrapText="1"/>
    </xf>
    <xf numFmtId="43" fontId="9" fillId="0" borderId="2" xfId="1" applyNumberFormat="1" applyFont="1" applyBorder="1"/>
    <xf numFmtId="43" fontId="7" fillId="0" borderId="2" xfId="1" applyNumberFormat="1" applyFont="1" applyBorder="1"/>
    <xf numFmtId="43" fontId="7" fillId="9" borderId="2" xfId="1" applyNumberFormat="1" applyFont="1" applyFill="1" applyBorder="1"/>
    <xf numFmtId="43" fontId="9" fillId="9" borderId="2" xfId="1" applyNumberFormat="1" applyFont="1" applyFill="1" applyBorder="1"/>
    <xf numFmtId="43" fontId="2" fillId="2" borderId="2" xfId="1" applyNumberFormat="1" applyFont="1" applyFill="1" applyBorder="1"/>
    <xf numFmtId="43" fontId="9" fillId="0" borderId="0" xfId="1" applyNumberFormat="1" applyFont="1"/>
    <xf numFmtId="43" fontId="9" fillId="0" borderId="2" xfId="1" applyNumberFormat="1" applyFont="1" applyBorder="1" applyAlignment="1">
      <alignment wrapText="1"/>
    </xf>
    <xf numFmtId="43" fontId="3" fillId="0" borderId="2" xfId="1" applyNumberFormat="1" applyFont="1" applyFill="1" applyBorder="1"/>
    <xf numFmtId="43" fontId="59" fillId="0" borderId="7" xfId="1" applyFont="1" applyFill="1" applyBorder="1" applyAlignment="1">
      <alignment horizontal="right"/>
    </xf>
    <xf numFmtId="4" fontId="57" fillId="6" borderId="0" xfId="0" applyNumberFormat="1" applyFont="1" applyFill="1"/>
    <xf numFmtId="0" fontId="40" fillId="16" borderId="2" xfId="0" quotePrefix="1" applyFont="1" applyFill="1" applyBorder="1" applyAlignment="1">
      <alignment horizontal="center" wrapText="1"/>
    </xf>
    <xf numFmtId="43" fontId="54" fillId="16" borderId="1" xfId="1" applyFont="1" applyFill="1" applyBorder="1" applyAlignment="1">
      <alignment horizontal="right"/>
    </xf>
    <xf numFmtId="0" fontId="35" fillId="0" borderId="5" xfId="0" applyNumberFormat="1" applyFont="1" applyBorder="1" applyAlignment="1">
      <alignment horizontal="center" vertical="center"/>
    </xf>
    <xf numFmtId="43" fontId="7" fillId="16" borderId="2" xfId="0" applyNumberFormat="1" applyFont="1" applyFill="1" applyBorder="1"/>
    <xf numFmtId="43" fontId="28" fillId="0" borderId="0" xfId="1" applyFont="1"/>
    <xf numFmtId="0" fontId="18" fillId="9" borderId="2" xfId="0" applyFont="1" applyFill="1" applyBorder="1"/>
    <xf numFmtId="43" fontId="59" fillId="9" borderId="2" xfId="1" applyFont="1" applyFill="1" applyBorder="1" applyAlignment="1">
      <alignment horizontal="right"/>
    </xf>
    <xf numFmtId="0" fontId="40" fillId="16" borderId="1" xfId="0" quotePrefix="1" applyFont="1" applyFill="1" applyBorder="1" applyAlignment="1">
      <alignment horizontal="center" wrapText="1"/>
    </xf>
    <xf numFmtId="0" fontId="55" fillId="16" borderId="1" xfId="0" applyNumberFormat="1" applyFont="1" applyFill="1" applyBorder="1" applyAlignment="1">
      <alignment vertical="top"/>
    </xf>
    <xf numFmtId="0" fontId="55" fillId="16" borderId="1" xfId="0" applyFont="1" applyFill="1" applyBorder="1" applyAlignment="1">
      <alignment horizontal="center" vertical="top"/>
    </xf>
    <xf numFmtId="43" fontId="54" fillId="16" borderId="2" xfId="1" applyFont="1" applyFill="1" applyBorder="1" applyAlignment="1">
      <alignment horizontal="left"/>
    </xf>
    <xf numFmtId="0" fontId="42" fillId="0" borderId="2" xfId="0" quotePrefix="1" applyFont="1" applyBorder="1" applyAlignment="1">
      <alignment horizontal="left" wrapText="1"/>
    </xf>
    <xf numFmtId="0" fontId="64" fillId="0" borderId="2" xfId="0" applyFont="1" applyBorder="1" applyAlignment="1">
      <alignment wrapText="1"/>
    </xf>
    <xf numFmtId="0" fontId="40" fillId="16" borderId="2" xfId="0" quotePrefix="1" applyFont="1" applyFill="1" applyBorder="1" applyAlignment="1">
      <alignment horizontal="center" wrapText="1"/>
    </xf>
    <xf numFmtId="0" fontId="40" fillId="16" borderId="18" xfId="0" quotePrefix="1" applyFont="1" applyFill="1" applyBorder="1" applyAlignment="1">
      <alignment horizontal="center" wrapText="1"/>
    </xf>
    <xf numFmtId="0" fontId="65" fillId="25" borderId="57" xfId="0" applyNumberFormat="1" applyFont="1" applyFill="1" applyBorder="1" applyAlignment="1" applyProtection="1">
      <alignment horizontal="left" vertical="center" wrapText="1"/>
    </xf>
    <xf numFmtId="0" fontId="65" fillId="24" borderId="57" xfId="0" applyNumberFormat="1" applyFont="1" applyFill="1" applyBorder="1" applyAlignment="1" applyProtection="1">
      <alignment horizontal="center" vertical="center"/>
    </xf>
    <xf numFmtId="0" fontId="65" fillId="25" borderId="57" xfId="0" applyNumberFormat="1" applyFont="1" applyFill="1" applyBorder="1" applyAlignment="1" applyProtection="1">
      <alignment horizontal="center" vertical="center"/>
    </xf>
    <xf numFmtId="0" fontId="65" fillId="25" borderId="57" xfId="0" applyNumberFormat="1" applyFont="1" applyFill="1" applyBorder="1" applyAlignment="1" applyProtection="1">
      <alignment horizontal="left" vertical="center"/>
    </xf>
    <xf numFmtId="0" fontId="65" fillId="25" borderId="57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/>
    <xf numFmtId="0" fontId="9" fillId="0" borderId="2" xfId="0" applyFont="1" applyBorder="1" applyAlignment="1"/>
    <xf numFmtId="17" fontId="9" fillId="0" borderId="2" xfId="0" applyNumberFormat="1" applyFont="1" applyBorder="1" applyAlignment="1"/>
    <xf numFmtId="17" fontId="9" fillId="0" borderId="0" xfId="0" applyNumberFormat="1" applyFont="1" applyAlignment="1"/>
    <xf numFmtId="4" fontId="9" fillId="0" borderId="0" xfId="0" applyNumberFormat="1" applyFont="1" applyAlignment="1"/>
    <xf numFmtId="0" fontId="9" fillId="9" borderId="2" xfId="0" applyFont="1" applyFill="1" applyBorder="1" applyAlignment="1">
      <alignment horizontal="center"/>
    </xf>
    <xf numFmtId="0" fontId="9" fillId="9" borderId="2" xfId="0" applyFont="1" applyFill="1" applyBorder="1"/>
    <xf numFmtId="0" fontId="9" fillId="9" borderId="2" xfId="0" applyFont="1" applyFill="1" applyBorder="1" applyAlignment="1"/>
    <xf numFmtId="17" fontId="9" fillId="9" borderId="2" xfId="0" applyNumberFormat="1" applyFont="1" applyFill="1" applyBorder="1" applyAlignment="1"/>
    <xf numFmtId="4" fontId="9" fillId="0" borderId="2" xfId="0" applyNumberFormat="1" applyFont="1" applyFill="1" applyBorder="1"/>
    <xf numFmtId="0" fontId="3" fillId="0" borderId="2" xfId="0" applyFont="1" applyBorder="1" applyAlignment="1"/>
    <xf numFmtId="17" fontId="3" fillId="0" borderId="2" xfId="0" applyNumberFormat="1" applyFont="1" applyBorder="1" applyAlignment="1"/>
    <xf numFmtId="4" fontId="16" fillId="0" borderId="0" xfId="0" applyNumberFormat="1" applyFont="1"/>
    <xf numFmtId="17" fontId="9" fillId="0" borderId="2" xfId="0" applyNumberFormat="1" applyFont="1" applyBorder="1" applyAlignment="1">
      <alignment horizontal="right"/>
    </xf>
    <xf numFmtId="0" fontId="3" fillId="0" borderId="0" xfId="0" applyFont="1" applyAlignment="1"/>
    <xf numFmtId="0" fontId="66" fillId="24" borderId="57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/>
    <xf numFmtId="0" fontId="66" fillId="25" borderId="57" xfId="0" applyNumberFormat="1" applyFont="1" applyFill="1" applyBorder="1" applyAlignment="1" applyProtection="1">
      <alignment horizontal="right" vertical="center"/>
    </xf>
    <xf numFmtId="43" fontId="66" fillId="25" borderId="57" xfId="1" applyFont="1" applyFill="1" applyBorder="1" applyAlignment="1" applyProtection="1">
      <alignment horizontal="right" vertical="center"/>
    </xf>
    <xf numFmtId="43" fontId="66" fillId="25" borderId="57" xfId="0" applyNumberFormat="1" applyFont="1" applyFill="1" applyBorder="1" applyAlignment="1" applyProtection="1">
      <alignment horizontal="right" vertical="center"/>
    </xf>
    <xf numFmtId="4" fontId="67" fillId="0" borderId="0" xfId="0" applyNumberFormat="1" applyFont="1" applyAlignment="1"/>
    <xf numFmtId="43" fontId="8" fillId="0" borderId="13" xfId="1" applyFont="1" applyBorder="1" applyAlignment="1"/>
    <xf numFmtId="4" fontId="8" fillId="0" borderId="2" xfId="0" applyNumberFormat="1" applyFont="1" applyBorder="1" applyAlignment="1"/>
    <xf numFmtId="43" fontId="8" fillId="0" borderId="2" xfId="0" applyNumberFormat="1" applyFont="1" applyBorder="1" applyAlignment="1"/>
    <xf numFmtId="43" fontId="8" fillId="0" borderId="2" xfId="1" applyFont="1" applyBorder="1" applyAlignment="1"/>
    <xf numFmtId="17" fontId="8" fillId="0" borderId="0" xfId="0" applyNumberFormat="1" applyFont="1" applyAlignment="1"/>
    <xf numFmtId="43" fontId="2" fillId="0" borderId="0" xfId="1" applyFont="1" applyAlignment="1"/>
    <xf numFmtId="4" fontId="2" fillId="0" borderId="0" xfId="0" applyNumberFormat="1" applyFont="1" applyAlignment="1"/>
    <xf numFmtId="0" fontId="2" fillId="0" borderId="0" xfId="0" applyFont="1" applyAlignment="1"/>
    <xf numFmtId="0" fontId="49" fillId="17" borderId="2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" fillId="12" borderId="13" xfId="0" applyFont="1" applyFill="1" applyBorder="1" applyAlignment="1">
      <alignment shrinkToFit="1"/>
    </xf>
    <xf numFmtId="0" fontId="5" fillId="12" borderId="2" xfId="0" applyFont="1" applyFill="1" applyBorder="1" applyAlignment="1">
      <alignment shrinkToFit="1"/>
    </xf>
    <xf numFmtId="0" fontId="29" fillId="12" borderId="2" xfId="0" applyFont="1" applyFill="1" applyBorder="1" applyAlignment="1">
      <alignment shrinkToFit="1"/>
    </xf>
    <xf numFmtId="43" fontId="49" fillId="12" borderId="2" xfId="1" applyFont="1" applyFill="1" applyBorder="1" applyAlignment="1"/>
    <xf numFmtId="43" fontId="49" fillId="12" borderId="2" xfId="0" applyNumberFormat="1" applyFont="1" applyFill="1" applyBorder="1" applyAlignment="1"/>
    <xf numFmtId="0" fontId="49" fillId="12" borderId="2" xfId="0" applyFont="1" applyFill="1" applyBorder="1"/>
    <xf numFmtId="0" fontId="68" fillId="12" borderId="2" xfId="0" applyFont="1" applyFill="1" applyBorder="1" applyAlignment="1">
      <alignment horizontal="left" shrinkToFit="1"/>
    </xf>
    <xf numFmtId="49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center"/>
    </xf>
    <xf numFmtId="0" fontId="63" fillId="0" borderId="2" xfId="0" quotePrefix="1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Fill="1" applyBorder="1"/>
    <xf numFmtId="0" fontId="3" fillId="26" borderId="20" xfId="0" quotePrefix="1" applyFont="1" applyFill="1" applyBorder="1" applyAlignment="1">
      <alignment horizontal="left" vertical="center" wrapText="1"/>
    </xf>
    <xf numFmtId="0" fontId="3" fillId="26" borderId="21" xfId="0" quotePrefix="1" applyFont="1" applyFill="1" applyBorder="1" applyAlignment="1">
      <alignment horizontal="left" vertical="center"/>
    </xf>
    <xf numFmtId="0" fontId="3" fillId="26" borderId="21" xfId="0" applyFont="1" applyFill="1" applyBorder="1"/>
    <xf numFmtId="43" fontId="3" fillId="26" borderId="21" xfId="1" applyFont="1" applyFill="1" applyBorder="1" applyAlignment="1">
      <alignment horizontal="right"/>
    </xf>
    <xf numFmtId="43" fontId="3" fillId="26" borderId="38" xfId="1" applyFont="1" applyFill="1" applyBorder="1" applyAlignment="1">
      <alignment horizontal="center" vertical="center"/>
    </xf>
    <xf numFmtId="43" fontId="3" fillId="0" borderId="40" xfId="1" applyFont="1" applyFill="1" applyBorder="1" applyAlignment="1">
      <alignment horizontal="center" vertical="center"/>
    </xf>
    <xf numFmtId="0" fontId="3" fillId="26" borderId="20" xfId="0" applyFont="1" applyFill="1" applyBorder="1" applyAlignment="1">
      <alignment vertical="center" wrapText="1"/>
    </xf>
    <xf numFmtId="0" fontId="3" fillId="26" borderId="21" xfId="0" applyFont="1" applyFill="1" applyBorder="1" applyAlignment="1">
      <alignment horizontal="left" vertical="center"/>
    </xf>
    <xf numFmtId="0" fontId="0" fillId="0" borderId="1" xfId="0" applyNumberFormat="1" applyBorder="1" applyAlignment="1"/>
    <xf numFmtId="43" fontId="3" fillId="0" borderId="59" xfId="1" applyFont="1" applyFill="1" applyBorder="1" applyAlignment="1">
      <alignment horizontal="right" vertical="center"/>
    </xf>
    <xf numFmtId="43" fontId="3" fillId="0" borderId="10" xfId="1" applyFont="1" applyFill="1" applyBorder="1" applyAlignment="1">
      <alignment horizontal="right" vertical="center"/>
    </xf>
    <xf numFmtId="43" fontId="3" fillId="0" borderId="7" xfId="1" applyFont="1" applyFill="1" applyBorder="1" applyAlignment="1">
      <alignment horizontal="right"/>
    </xf>
    <xf numFmtId="43" fontId="3" fillId="0" borderId="60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43" fontId="0" fillId="0" borderId="1" xfId="1" applyFont="1" applyBorder="1"/>
    <xf numFmtId="0" fontId="3" fillId="0" borderId="13" xfId="0" applyFont="1" applyFill="1" applyBorder="1"/>
    <xf numFmtId="43" fontId="3" fillId="0" borderId="13" xfId="1" applyFont="1" applyFill="1" applyBorder="1" applyAlignment="1">
      <alignment horizontal="right"/>
    </xf>
    <xf numFmtId="43" fontId="3" fillId="0" borderId="61" xfId="1" applyFont="1" applyFill="1" applyBorder="1" applyAlignment="1">
      <alignment horizontal="center" vertical="center"/>
    </xf>
    <xf numFmtId="0" fontId="3" fillId="12" borderId="22" xfId="0" applyFont="1" applyFill="1" applyBorder="1"/>
    <xf numFmtId="43" fontId="3" fillId="12" borderId="22" xfId="1" applyFont="1" applyFill="1" applyBorder="1" applyAlignment="1">
      <alignment horizontal="right"/>
    </xf>
    <xf numFmtId="43" fontId="3" fillId="12" borderId="43" xfId="1" applyFont="1" applyFill="1" applyBorder="1" applyAlignment="1">
      <alignment horizontal="center" vertical="center"/>
    </xf>
    <xf numFmtId="0" fontId="3" fillId="12" borderId="7" xfId="0" applyFont="1" applyFill="1" applyBorder="1"/>
    <xf numFmtId="43" fontId="3" fillId="12" borderId="7" xfId="1" applyFont="1" applyFill="1" applyBorder="1" applyAlignment="1">
      <alignment horizontal="right"/>
    </xf>
    <xf numFmtId="43" fontId="3" fillId="12" borderId="60" xfId="1" applyFont="1" applyFill="1" applyBorder="1" applyAlignment="1">
      <alignment horizontal="center" vertical="center"/>
    </xf>
    <xf numFmtId="0" fontId="3" fillId="0" borderId="33" xfId="0" applyFont="1" applyFill="1" applyBorder="1"/>
    <xf numFmtId="0" fontId="3" fillId="0" borderId="2" xfId="0" applyFont="1" applyFill="1" applyBorder="1" applyAlignment="1">
      <alignment vertical="center" wrapText="1"/>
    </xf>
    <xf numFmtId="0" fontId="3" fillId="0" borderId="23" xfId="0" applyFont="1" applyBorder="1" applyAlignment="1">
      <alignment wrapText="1"/>
    </xf>
    <xf numFmtId="0" fontId="3" fillId="0" borderId="58" xfId="0" applyFont="1" applyFill="1" applyBorder="1" applyAlignment="1">
      <alignment vertical="center"/>
    </xf>
    <xf numFmtId="43" fontId="3" fillId="0" borderId="58" xfId="1" applyFont="1" applyFill="1" applyBorder="1" applyAlignment="1">
      <alignment vertical="center"/>
    </xf>
    <xf numFmtId="43" fontId="3" fillId="0" borderId="5" xfId="1" applyFont="1" applyFill="1" applyBorder="1" applyAlignment="1">
      <alignment vertical="center"/>
    </xf>
    <xf numFmtId="43" fontId="3" fillId="0" borderId="2" xfId="1" applyFont="1" applyFill="1" applyBorder="1" applyAlignment="1">
      <alignment horizontal="left" vertical="center"/>
    </xf>
    <xf numFmtId="0" fontId="9" fillId="0" borderId="58" xfId="0" applyFont="1" applyBorder="1" applyAlignment="1">
      <alignment horizontal="left" wrapText="1"/>
    </xf>
    <xf numFmtId="0" fontId="40" fillId="0" borderId="18" xfId="0" quotePrefix="1" applyFont="1" applyBorder="1" applyAlignment="1">
      <alignment horizontal="left" wrapText="1"/>
    </xf>
    <xf numFmtId="0" fontId="40" fillId="0" borderId="10" xfId="0" quotePrefix="1" applyFont="1" applyBorder="1" applyAlignment="1">
      <alignment horizontal="left"/>
    </xf>
    <xf numFmtId="43" fontId="54" fillId="0" borderId="7" xfId="1" applyFont="1" applyBorder="1" applyAlignment="1">
      <alignment horizontal="right"/>
    </xf>
    <xf numFmtId="0" fontId="54" fillId="0" borderId="7" xfId="0" applyFont="1" applyBorder="1"/>
    <xf numFmtId="43" fontId="54" fillId="0" borderId="7" xfId="0" applyNumberFormat="1" applyFont="1" applyBorder="1"/>
    <xf numFmtId="0" fontId="59" fillId="0" borderId="1" xfId="1" applyNumberFormat="1" applyFont="1" applyBorder="1" applyAlignment="1"/>
    <xf numFmtId="0" fontId="55" fillId="0" borderId="51" xfId="0" applyFont="1" applyBorder="1" applyAlignment="1">
      <alignment horizontal="center" vertical="top"/>
    </xf>
    <xf numFmtId="0" fontId="3" fillId="0" borderId="59" xfId="0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wrapText="1"/>
    </xf>
    <xf numFmtId="43" fontId="3" fillId="2" borderId="2" xfId="1" applyFont="1" applyFill="1" applyBorder="1" applyAlignment="1">
      <alignment horizontal="right"/>
    </xf>
    <xf numFmtId="4" fontId="1" fillId="0" borderId="1" xfId="8" applyNumberFormat="1"/>
    <xf numFmtId="4" fontId="1" fillId="0" borderId="1" xfId="9" applyNumberFormat="1"/>
    <xf numFmtId="0" fontId="3" fillId="0" borderId="3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vertical="center"/>
    </xf>
    <xf numFmtId="4" fontId="3" fillId="14" borderId="2" xfId="0" applyNumberFormat="1" applyFont="1" applyFill="1" applyBorder="1" applyAlignment="1">
      <alignment horizontal="right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43" fontId="3" fillId="0" borderId="13" xfId="1" applyFont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 wrapText="1"/>
    </xf>
    <xf numFmtId="4" fontId="3" fillId="0" borderId="7" xfId="0" applyNumberFormat="1" applyFont="1" applyFill="1" applyBorder="1" applyAlignment="1">
      <alignment horizontal="right" vertical="center"/>
    </xf>
    <xf numFmtId="0" fontId="54" fillId="0" borderId="1" xfId="0" applyFont="1" applyBorder="1" applyAlignment="1"/>
    <xf numFmtId="43" fontId="0" fillId="0" borderId="38" xfId="1" applyFont="1" applyBorder="1"/>
    <xf numFmtId="43" fontId="0" fillId="0" borderId="40" xfId="1" applyFont="1" applyBorder="1"/>
    <xf numFmtId="0" fontId="54" fillId="2" borderId="20" xfId="0" applyFont="1" applyFill="1" applyBorder="1" applyAlignment="1">
      <alignment horizontal="right"/>
    </xf>
    <xf numFmtId="43" fontId="54" fillId="2" borderId="38" xfId="1" applyFont="1" applyFill="1" applyBorder="1"/>
    <xf numFmtId="0" fontId="54" fillId="0" borderId="62" xfId="0" applyFont="1" applyBorder="1" applyAlignment="1">
      <alignment horizontal="right"/>
    </xf>
    <xf numFmtId="43" fontId="54" fillId="0" borderId="40" xfId="1" applyFont="1" applyBorder="1"/>
    <xf numFmtId="0" fontId="55" fillId="0" borderId="62" xfId="0" applyFont="1" applyBorder="1" applyAlignment="1">
      <alignment horizontal="right" vertical="top"/>
    </xf>
    <xf numFmtId="0" fontId="59" fillId="0" borderId="63" xfId="0" applyFont="1" applyBorder="1" applyAlignment="1">
      <alignment horizontal="right" vertical="top"/>
    </xf>
    <xf numFmtId="43" fontId="59" fillId="0" borderId="43" xfId="1" applyFont="1" applyBorder="1"/>
    <xf numFmtId="43" fontId="18" fillId="0" borderId="43" xfId="1" applyFont="1" applyBorder="1"/>
    <xf numFmtId="0" fontId="59" fillId="0" borderId="31" xfId="0" applyFont="1" applyBorder="1" applyAlignment="1">
      <alignment horizontal="center"/>
    </xf>
    <xf numFmtId="0" fontId="54" fillId="0" borderId="20" xfId="0" applyFont="1" applyBorder="1" applyAlignment="1">
      <alignment horizontal="left" wrapText="1"/>
    </xf>
    <xf numFmtId="0" fontId="54" fillId="0" borderId="62" xfId="0" applyFont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3" fontId="0" fillId="0" borderId="2" xfId="1" applyFont="1" applyBorder="1" applyAlignment="1">
      <alignment vertical="center"/>
    </xf>
    <xf numFmtId="0" fontId="0" fillId="0" borderId="2" xfId="0" applyBorder="1" applyAlignment="1">
      <alignment vertical="center" wrapText="1"/>
    </xf>
    <xf numFmtId="43" fontId="22" fillId="0" borderId="2" xfId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3" fontId="3" fillId="0" borderId="7" xfId="1" applyFont="1" applyBorder="1" applyAlignment="1">
      <alignment horizontal="center"/>
    </xf>
    <xf numFmtId="43" fontId="3" fillId="0" borderId="13" xfId="1" applyFont="1" applyBorder="1" applyAlignment="1">
      <alignment horizontal="center"/>
    </xf>
    <xf numFmtId="43" fontId="3" fillId="0" borderId="7" xfId="0" applyNumberFormat="1" applyFont="1" applyBorder="1" applyAlignment="1">
      <alignment horizontal="center" vertical="center"/>
    </xf>
    <xf numFmtId="43" fontId="3" fillId="0" borderId="13" xfId="0" applyNumberFormat="1" applyFont="1" applyBorder="1" applyAlignment="1">
      <alignment horizontal="center" vertical="center"/>
    </xf>
    <xf numFmtId="43" fontId="3" fillId="0" borderId="7" xfId="1" applyFont="1" applyBorder="1" applyAlignment="1">
      <alignment horizontal="right" vertical="center"/>
    </xf>
    <xf numFmtId="43" fontId="3" fillId="0" borderId="13" xfId="1" applyFont="1" applyBorder="1" applyAlignment="1">
      <alignment horizontal="right" vertical="center"/>
    </xf>
    <xf numFmtId="43" fontId="3" fillId="0" borderId="14" xfId="0" applyNumberFormat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3" fillId="0" borderId="13" xfId="1" applyFont="1" applyBorder="1" applyAlignment="1">
      <alignment horizontal="center" vertical="center"/>
    </xf>
    <xf numFmtId="43" fontId="3" fillId="0" borderId="14" xfId="1" applyFont="1" applyBorder="1" applyAlignment="1">
      <alignment horizontal="center" vertical="center"/>
    </xf>
    <xf numFmtId="0" fontId="69" fillId="0" borderId="3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69" fillId="0" borderId="5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54" fillId="16" borderId="3" xfId="0" applyFont="1" applyFill="1" applyBorder="1" applyAlignment="1">
      <alignment horizontal="center" wrapText="1"/>
    </xf>
    <xf numFmtId="0" fontId="54" fillId="16" borderId="5" xfId="0" applyFont="1" applyFill="1" applyBorder="1" applyAlignment="1">
      <alignment horizontal="center" wrapText="1"/>
    </xf>
    <xf numFmtId="0" fontId="53" fillId="0" borderId="6" xfId="0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center" vertical="center"/>
    </xf>
    <xf numFmtId="0" fontId="40" fillId="16" borderId="18" xfId="0" quotePrefix="1" applyFont="1" applyFill="1" applyBorder="1" applyAlignment="1">
      <alignment horizontal="center" wrapText="1"/>
    </xf>
    <xf numFmtId="0" fontId="40" fillId="16" borderId="10" xfId="0" quotePrefix="1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40" fillId="16" borderId="2" xfId="0" quotePrefix="1" applyFont="1" applyFill="1" applyBorder="1" applyAlignment="1">
      <alignment horizontal="center" wrapText="1"/>
    </xf>
    <xf numFmtId="0" fontId="55" fillId="0" borderId="56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7" xfId="0" applyNumberFormat="1" applyFont="1" applyFill="1" applyBorder="1" applyAlignment="1">
      <alignment horizontal="left" vertical="center"/>
    </xf>
    <xf numFmtId="0" fontId="55" fillId="0" borderId="13" xfId="0" applyNumberFormat="1" applyFont="1" applyFill="1" applyBorder="1" applyAlignment="1">
      <alignment horizontal="left" vertical="center"/>
    </xf>
    <xf numFmtId="43" fontId="3" fillId="12" borderId="31" xfId="1" applyFont="1" applyFill="1" applyBorder="1" applyAlignment="1">
      <alignment horizontal="center" vertical="center"/>
    </xf>
    <xf numFmtId="43" fontId="3" fillId="12" borderId="32" xfId="1" applyFont="1" applyFill="1" applyBorder="1" applyAlignment="1">
      <alignment horizontal="center" vertical="center"/>
    </xf>
    <xf numFmtId="0" fontId="3" fillId="12" borderId="31" xfId="0" applyFont="1" applyFill="1" applyBorder="1" applyAlignment="1">
      <alignment horizontal="center" vertical="center" wrapText="1"/>
    </xf>
    <xf numFmtId="0" fontId="3" fillId="12" borderId="32" xfId="0" applyFont="1" applyFill="1" applyBorder="1" applyAlignment="1">
      <alignment horizontal="center" vertical="center" wrapText="1"/>
    </xf>
    <xf numFmtId="43" fontId="40" fillId="0" borderId="7" xfId="1" quotePrefix="1" applyFont="1" applyBorder="1" applyAlignment="1">
      <alignment horizontal="center" vertical="center"/>
    </xf>
    <xf numFmtId="43" fontId="40" fillId="0" borderId="13" xfId="1" quotePrefix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12" borderId="59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4" fontId="40" fillId="10" borderId="7" xfId="0" applyNumberFormat="1" applyFont="1" applyFill="1" applyBorder="1" applyAlignment="1">
      <alignment horizontal="right" vertical="center"/>
    </xf>
    <xf numFmtId="4" fontId="40" fillId="10" borderId="14" xfId="0" applyNumberFormat="1" applyFont="1" applyFill="1" applyBorder="1" applyAlignment="1">
      <alignment horizontal="right" vertical="center"/>
    </xf>
    <xf numFmtId="4" fontId="40" fillId="10" borderId="13" xfId="0" applyNumberFormat="1" applyFont="1" applyFill="1" applyBorder="1" applyAlignment="1">
      <alignment horizontal="right" vertical="center"/>
    </xf>
    <xf numFmtId="4" fontId="40" fillId="10" borderId="7" xfId="1" applyNumberFormat="1" applyFont="1" applyFill="1" applyBorder="1" applyAlignment="1">
      <alignment horizontal="center" vertical="center"/>
    </xf>
    <xf numFmtId="4" fontId="40" fillId="10" borderId="14" xfId="1" applyNumberFormat="1" applyFont="1" applyFill="1" applyBorder="1" applyAlignment="1">
      <alignment horizontal="center" vertical="center"/>
    </xf>
    <xf numFmtId="4" fontId="40" fillId="10" borderId="13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8" fillId="22" borderId="2" xfId="0" applyFont="1" applyFill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48" fillId="2" borderId="6" xfId="0" applyFont="1" applyFill="1" applyBorder="1" applyAlignment="1">
      <alignment horizontal="center"/>
    </xf>
    <xf numFmtId="0" fontId="39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right" vertical="center"/>
    </xf>
    <xf numFmtId="0" fontId="37" fillId="0" borderId="7" xfId="0" applyFont="1" applyBorder="1" applyAlignment="1">
      <alignment horizontal="center" vertical="center" shrinkToFit="1"/>
    </xf>
    <xf numFmtId="0" fontId="37" fillId="0" borderId="13" xfId="0" applyFont="1" applyBorder="1" applyAlignment="1">
      <alignment horizontal="center" vertical="center" shrinkToFit="1"/>
    </xf>
    <xf numFmtId="4" fontId="40" fillId="0" borderId="7" xfId="0" applyNumberFormat="1" applyFont="1" applyFill="1" applyBorder="1" applyAlignment="1">
      <alignment horizontal="right" vertical="center"/>
    </xf>
    <xf numFmtId="4" fontId="40" fillId="0" borderId="14" xfId="0" applyNumberFormat="1" applyFont="1" applyFill="1" applyBorder="1" applyAlignment="1">
      <alignment horizontal="right" vertical="center"/>
    </xf>
    <xf numFmtId="4" fontId="40" fillId="0" borderId="13" xfId="0" applyNumberFormat="1" applyFont="1" applyFill="1" applyBorder="1" applyAlignment="1">
      <alignment horizontal="right" vertical="center"/>
    </xf>
    <xf numFmtId="0" fontId="49" fillId="0" borderId="1" xfId="0" applyFont="1" applyBorder="1" applyAlignment="1">
      <alignment horizontal="center" wrapText="1"/>
    </xf>
    <xf numFmtId="0" fontId="42" fillId="0" borderId="2" xfId="0" applyFont="1" applyBorder="1" applyAlignment="1">
      <alignment horizontal="center"/>
    </xf>
    <xf numFmtId="0" fontId="37" fillId="0" borderId="2" xfId="0" applyFont="1" applyBorder="1" applyAlignment="1">
      <alignment horizontal="center" vertical="center" wrapText="1"/>
    </xf>
    <xf numFmtId="4" fontId="40" fillId="0" borderId="7" xfId="1" applyNumberFormat="1" applyFont="1" applyFill="1" applyBorder="1" applyAlignment="1">
      <alignment horizontal="center" vertical="center"/>
    </xf>
    <xf numFmtId="4" fontId="40" fillId="0" borderId="14" xfId="1" applyNumberFormat="1" applyFont="1" applyFill="1" applyBorder="1" applyAlignment="1">
      <alignment horizontal="center" vertical="center"/>
    </xf>
    <xf numFmtId="4" fontId="40" fillId="0" borderId="13" xfId="1" applyNumberFormat="1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4" fontId="37" fillId="0" borderId="1" xfId="1" applyNumberFormat="1" applyFont="1" applyBorder="1" applyAlignment="1">
      <alignment horizontal="center" vertical="center"/>
    </xf>
    <xf numFmtId="4" fontId="40" fillId="0" borderId="7" xfId="1" applyNumberFormat="1" applyFont="1" applyFill="1" applyBorder="1" applyAlignment="1">
      <alignment horizontal="right" vertical="center"/>
    </xf>
    <xf numFmtId="4" fontId="40" fillId="0" borderId="14" xfId="1" applyNumberFormat="1" applyFont="1" applyFill="1" applyBorder="1" applyAlignment="1">
      <alignment horizontal="right" vertical="center"/>
    </xf>
    <xf numFmtId="4" fontId="40" fillId="0" borderId="13" xfId="1" applyNumberFormat="1" applyFont="1" applyFill="1" applyBorder="1" applyAlignment="1">
      <alignment horizontal="right" vertical="center"/>
    </xf>
    <xf numFmtId="4" fontId="41" fillId="0" borderId="7" xfId="1" applyNumberFormat="1" applyFont="1" applyFill="1" applyBorder="1" applyAlignment="1">
      <alignment horizontal="center" vertical="center"/>
    </xf>
    <xf numFmtId="4" fontId="41" fillId="0" borderId="14" xfId="1" applyNumberFormat="1" applyFont="1" applyFill="1" applyBorder="1" applyAlignment="1">
      <alignment horizontal="center" vertical="center"/>
    </xf>
    <xf numFmtId="4" fontId="41" fillId="0" borderId="13" xfId="1" applyNumberFormat="1" applyFont="1" applyFill="1" applyBorder="1" applyAlignment="1">
      <alignment horizontal="center" vertical="center"/>
    </xf>
    <xf numFmtId="0" fontId="29" fillId="12" borderId="2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/>
    </xf>
    <xf numFmtId="0" fontId="29" fillId="0" borderId="38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 wrapText="1"/>
    </xf>
    <xf numFmtId="0" fontId="29" fillId="0" borderId="22" xfId="0" applyFont="1" applyFill="1" applyBorder="1" applyAlignment="1">
      <alignment horizontal="center" wrapText="1"/>
    </xf>
    <xf numFmtId="0" fontId="29" fillId="0" borderId="37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right" vertical="center"/>
    </xf>
    <xf numFmtId="0" fontId="29" fillId="0" borderId="22" xfId="0" applyFont="1" applyFill="1" applyBorder="1" applyAlignment="1">
      <alignment horizontal="right" vertical="center"/>
    </xf>
    <xf numFmtId="0" fontId="29" fillId="0" borderId="6" xfId="0" applyFont="1" applyBorder="1" applyAlignment="1">
      <alignment horizontal="center"/>
    </xf>
    <xf numFmtId="0" fontId="29" fillId="0" borderId="7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right" vertical="center"/>
    </xf>
    <xf numFmtId="0" fontId="29" fillId="12" borderId="3" xfId="0" applyFont="1" applyFill="1" applyBorder="1" applyAlignment="1">
      <alignment horizontal="center"/>
    </xf>
    <xf numFmtId="0" fontId="29" fillId="12" borderId="5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43" fontId="2" fillId="2" borderId="3" xfId="2" applyFont="1" applyFill="1" applyBorder="1" applyAlignment="1">
      <alignment horizontal="center" vertical="center"/>
    </xf>
    <xf numFmtId="43" fontId="2" fillId="2" borderId="4" xfId="2" applyFont="1" applyFill="1" applyBorder="1" applyAlignment="1">
      <alignment horizontal="center" vertical="center"/>
    </xf>
    <xf numFmtId="43" fontId="2" fillId="2" borderId="5" xfId="2" applyFont="1" applyFill="1" applyBorder="1" applyAlignment="1">
      <alignment horizontal="center" vertical="center"/>
    </xf>
    <xf numFmtId="43" fontId="5" fillId="6" borderId="3" xfId="1" applyFont="1" applyFill="1" applyBorder="1" applyAlignment="1">
      <alignment horizontal="center"/>
    </xf>
    <xf numFmtId="43" fontId="5" fillId="6" borderId="4" xfId="1" applyFont="1" applyFill="1" applyBorder="1" applyAlignment="1">
      <alignment horizontal="center"/>
    </xf>
    <xf numFmtId="43" fontId="5" fillId="6" borderId="5" xfId="1" applyFont="1" applyFill="1" applyBorder="1" applyAlignment="1">
      <alignment horizont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5" fontId="0" fillId="12" borderId="3" xfId="0" applyNumberFormat="1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189" fontId="0" fillId="12" borderId="3" xfId="0" applyNumberFormat="1" applyFill="1" applyBorder="1" applyAlignment="1">
      <alignment horizontal="center"/>
    </xf>
    <xf numFmtId="189" fontId="0" fillId="12" borderId="4" xfId="0" applyNumberFormat="1" applyFill="1" applyBorder="1" applyAlignment="1">
      <alignment horizontal="center"/>
    </xf>
    <xf numFmtId="189" fontId="0" fillId="12" borderId="5" xfId="0" applyNumberFormat="1" applyFill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9" fillId="8" borderId="5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49" fillId="0" borderId="1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49" fontId="3" fillId="8" borderId="29" xfId="0" applyNumberFormat="1" applyFont="1" applyFill="1" applyBorder="1" applyAlignment="1">
      <alignment horizontal="center" vertical="center"/>
    </xf>
    <xf numFmtId="49" fontId="3" fillId="8" borderId="30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12" borderId="3" xfId="0" applyNumberFormat="1" applyFont="1" applyFill="1" applyBorder="1" applyAlignment="1">
      <alignment horizontal="center" vertical="center"/>
    </xf>
    <xf numFmtId="49" fontId="3" fillId="12" borderId="4" xfId="0" applyNumberFormat="1" applyFont="1" applyFill="1" applyBorder="1" applyAlignment="1">
      <alignment horizontal="center" vertical="center"/>
    </xf>
    <xf numFmtId="49" fontId="3" fillId="12" borderId="5" xfId="0" applyNumberFormat="1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9" fillId="0" borderId="1" xfId="5" applyFont="1" applyFill="1" applyAlignment="1">
      <alignment horizontal="center" vertical="center" wrapText="1"/>
    </xf>
    <xf numFmtId="0" fontId="20" fillId="0" borderId="6" xfId="5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11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wrapText="1"/>
    </xf>
    <xf numFmtId="0" fontId="2" fillId="11" borderId="18" xfId="0" applyFont="1" applyFill="1" applyBorder="1" applyAlignment="1">
      <alignment horizontal="center" wrapText="1"/>
    </xf>
    <xf numFmtId="0" fontId="2" fillId="11" borderId="19" xfId="0" applyFont="1" applyFill="1" applyBorder="1" applyAlignment="1">
      <alignment horizontal="center" wrapText="1"/>
    </xf>
    <xf numFmtId="0" fontId="2" fillId="11" borderId="10" xfId="0" applyFont="1" applyFill="1" applyBorder="1" applyAlignment="1">
      <alignment horizontal="center" wrapText="1"/>
    </xf>
    <xf numFmtId="0" fontId="2" fillId="11" borderId="12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wrapText="1"/>
    </xf>
    <xf numFmtId="0" fontId="2" fillId="11" borderId="17" xfId="0" applyFont="1" applyFill="1" applyBorder="1" applyAlignment="1">
      <alignment horizontal="center" wrapText="1"/>
    </xf>
    <xf numFmtId="0" fontId="2" fillId="11" borderId="11" xfId="0" applyFont="1" applyFill="1" applyBorder="1" applyAlignment="1">
      <alignment horizontal="center" wrapText="1"/>
    </xf>
    <xf numFmtId="0" fontId="2" fillId="11" borderId="6" xfId="0" applyFont="1" applyFill="1" applyBorder="1" applyAlignment="1">
      <alignment horizontal="center" wrapText="1"/>
    </xf>
    <xf numFmtId="0" fontId="2" fillId="11" borderId="33" xfId="0" applyFont="1" applyFill="1" applyBorder="1" applyAlignment="1">
      <alignment horizontal="center" wrapText="1"/>
    </xf>
    <xf numFmtId="0" fontId="2" fillId="11" borderId="3" xfId="0" quotePrefix="1" applyFont="1" applyFill="1" applyBorder="1" applyAlignment="1">
      <alignment horizontal="center" wrapText="1"/>
    </xf>
    <xf numFmtId="0" fontId="2" fillId="11" borderId="5" xfId="0" applyFont="1" applyFill="1" applyBorder="1" applyAlignment="1">
      <alignment horizontal="center" wrapText="1"/>
    </xf>
    <xf numFmtId="17" fontId="2" fillId="5" borderId="7" xfId="0" applyNumberFormat="1" applyFont="1" applyFill="1" applyBorder="1" applyAlignment="1">
      <alignment horizontal="center" vertical="center"/>
    </xf>
    <xf numFmtId="17" fontId="2" fillId="5" borderId="13" xfId="0" applyNumberFormat="1" applyFont="1" applyFill="1" applyBorder="1" applyAlignment="1">
      <alignment horizontal="center" vertical="center"/>
    </xf>
    <xf numFmtId="17" fontId="2" fillId="21" borderId="7" xfId="0" applyNumberFormat="1" applyFont="1" applyFill="1" applyBorder="1" applyAlignment="1">
      <alignment horizontal="center" vertical="center"/>
    </xf>
    <xf numFmtId="17" fontId="2" fillId="21" borderId="13" xfId="0" applyNumberFormat="1" applyFont="1" applyFill="1" applyBorder="1" applyAlignment="1">
      <alignment horizontal="center" vertical="center"/>
    </xf>
    <xf numFmtId="17" fontId="2" fillId="5" borderId="14" xfId="0" applyNumberFormat="1" applyFont="1" applyFill="1" applyBorder="1" applyAlignment="1">
      <alignment horizontal="center" vertical="center"/>
    </xf>
    <xf numFmtId="17" fontId="2" fillId="2" borderId="7" xfId="0" applyNumberFormat="1" applyFont="1" applyFill="1" applyBorder="1" applyAlignment="1">
      <alignment horizontal="center" vertical="center"/>
    </xf>
    <xf numFmtId="17" fontId="2" fillId="2" borderId="13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3" fontId="8" fillId="2" borderId="3" xfId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3" fontId="8" fillId="2" borderId="5" xfId="1" applyFont="1" applyFill="1" applyBorder="1" applyAlignment="1">
      <alignment horizontal="center" vertical="center"/>
    </xf>
    <xf numFmtId="43" fontId="8" fillId="6" borderId="3" xfId="1" applyFont="1" applyFill="1" applyBorder="1" applyAlignment="1">
      <alignment horizontal="center" vertical="center"/>
    </xf>
    <xf numFmtId="43" fontId="8" fillId="6" borderId="4" xfId="1" applyFont="1" applyFill="1" applyBorder="1" applyAlignment="1">
      <alignment horizontal="center" vertical="center"/>
    </xf>
    <xf numFmtId="43" fontId="8" fillId="6" borderId="5" xfId="1" applyFont="1" applyFill="1" applyBorder="1" applyAlignment="1">
      <alignment horizontal="center" vertical="center"/>
    </xf>
    <xf numFmtId="43" fontId="8" fillId="2" borderId="18" xfId="1" applyFont="1" applyFill="1" applyBorder="1" applyAlignment="1">
      <alignment horizontal="center" vertical="center"/>
    </xf>
    <xf numFmtId="43" fontId="8" fillId="2" borderId="19" xfId="1" applyFont="1" applyFill="1" applyBorder="1" applyAlignment="1">
      <alignment horizontal="center" vertical="center"/>
    </xf>
    <xf numFmtId="43" fontId="8" fillId="2" borderId="10" xfId="1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left" vertical="top" wrapText="1"/>
    </xf>
  </cellXfs>
  <cellStyles count="10">
    <cellStyle name="Comma" xfId="1" builtinId="3"/>
    <cellStyle name="Comma 2 2" xfId="2"/>
    <cellStyle name="Normal" xfId="0" builtinId="0"/>
    <cellStyle name="Normal 2" xfId="3"/>
    <cellStyle name="Normal 3" xfId="4"/>
    <cellStyle name="Normal 4" xfId="5"/>
    <cellStyle name="Normal 5" xfId="7"/>
    <cellStyle name="Normal 6" xfId="8"/>
    <cellStyle name="Normal 7" xfId="9"/>
    <cellStyle name="ปกติ_Sheet1" xfId="6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/&#3591;&#3634;&#3609;&#3611;&#3637;%202565/&#3648;&#3610;&#3636;&#3585;&#3592;&#3656;&#3634;&#3618;&#3591;&#3610;&#3611;&#3619;&#3632;&#3617;&#3634;&#3603;/12.%20&#3591;&#3610;&#3611;&#3619;&#3632;&#3617;&#3634;&#3603;&#3648;&#3610;&#3636;&#3585;&#3592;&#3656;&#3634;&#3618;%20&#3585;.&#3618;.6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592;&#3633;&#3604;&#3626;&#3619;&#3619;&#3591;&#3610;&#3611;&#3619;&#3632;&#3617;&#3634;&#3603;&#3619;&#3634;&#3618;&#3592;&#3656;&#3634;&#3618;&#3611;&#3637;66_5_&#3648;&#3617;&#3618;_66pi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&#3618;&#3634;&#3648;&#3626;&#3614;&#3605;&#3636;&#3604;6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NFMA55_&#3619;&#3634;&#3618;&#3591;&#3634;&#3609;&#3649;&#3626;&#3604;&#3591;&#3618;&#3629;&#3604;&#3591;&#3610;&#3611;&#3619;&#3632;&#3617;&#3634;&#3603;&#3605;&#3634;&#3617;&#3627;&#3609;&#3656;&#3623;&#3618;&#3619;&#3633;&#3610;&#3591;&#3610;&#3611;&#3619;&#3632;&#3617;&#3634;&#3603;%20(7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/&#3591;&#3634;&#3609;&#3611;&#3637;%202566/&#3626;&#3636;&#3657;&#3609;&#3648;&#3604;&#3639;&#3629;&#3609;%20&#3614;&#3637;&#3656;&#3629;&#3657;&#36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ประมาณภามรวม"/>
      <sheetName val="งบประมาณกิจกรรม"/>
      <sheetName val="งบก่อสร้าง+ครุภัณฑ์"/>
      <sheetName val="ครุภัณฑ์ NEW GF"/>
      <sheetName val="เบิกจ่าย"/>
      <sheetName val="ค่าฉีดวัคชีน"/>
      <sheetName val="พชอ."/>
      <sheetName val="Sheet2"/>
      <sheetName val="fixed cost"/>
      <sheetName val="สสอ."/>
      <sheetName val="ค่าสาธารณูปโภค สสจ."/>
      <sheetName val="แผนงาน ปี 65"/>
      <sheetName val="กบกลางโควิค 64 รอบ 2"/>
      <sheetName val="งบกลางโควิค64"/>
      <sheetName val="แหล่งของเงิน"/>
      <sheetName val="พชอ (สสอ.หน่าวยบริการ) "/>
      <sheetName val="พชอ. สสอ."/>
      <sheetName val="พชอ. (เงินนอก)"/>
      <sheetName val="ยาเสพติด รพ."/>
      <sheetName val="ยาเสพติด สสอ."/>
      <sheetName val="Oscc"/>
      <sheetName val="Sheet1"/>
      <sheetName val="เงินกัน covid-19 ปี 64"/>
      <sheetName val="Fix cost สสอ. (ปิดปีงบ ก.ย.64)"/>
      <sheetName val="Fix cost สสอ"/>
      <sheetName val="รายละเอียด Fix cost สสอ."/>
      <sheetName val="งบลงทุน"/>
      <sheetName val="Sheet4"/>
    </sheetNames>
    <sheetDataSet>
      <sheetData sheetId="0">
        <row r="1">
          <cell r="B1" t="str">
            <v>รายงานสรุปการใช้จ่ายงบประมาณกับGF (สำนักปลัดกระทรวงสาธารณสุข)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สรุปแผนปฏิบัติการที่ขอใช้เงิน"/>
      <sheetName val="Sheet2"/>
      <sheetName val="สรุป"/>
      <sheetName val="ยาเสพติด"/>
      <sheetName val="21002350002002000000(379,590)"/>
      <sheetName val="21002300004002000000 (339,800)"/>
      <sheetName val="21002320016002000000(1,962,800)"/>
      <sheetName val="Sheet1"/>
      <sheetName val="รายการรหัสเงิน"/>
      <sheetName val=" รหัส"/>
      <sheetName val="เงิน สป"/>
      <sheetName val="2_ทุกงบตัดยอดแบบเงื่อนไข "/>
      <sheetName val="สรุปยอดพิมพาพร"/>
      <sheetName val="เงินบำรุง"/>
      <sheetName val="สรุป1-2"/>
      <sheetName val="สรุปยอ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เบิกยาเสพติด66"/>
      <sheetName val="ยาเสพติดปี66"/>
      <sheetName val="ทะเบียนงบยาเสพติดปี66"/>
      <sheetName val="รายละเอียดเบิก66"/>
    </sheetNames>
    <sheetDataSet>
      <sheetData sheetId="0"/>
      <sheetData sheetId="1">
        <row r="7">
          <cell r="C7">
            <v>18500</v>
          </cell>
          <cell r="H7">
            <v>0</v>
          </cell>
        </row>
        <row r="8">
          <cell r="C8">
            <v>32000</v>
          </cell>
        </row>
        <row r="9">
          <cell r="C9">
            <v>17500</v>
          </cell>
          <cell r="H9">
            <v>0</v>
          </cell>
        </row>
        <row r="10">
          <cell r="C10">
            <v>15500</v>
          </cell>
          <cell r="H10">
            <v>0</v>
          </cell>
        </row>
        <row r="11">
          <cell r="C11">
            <v>17000</v>
          </cell>
        </row>
        <row r="12">
          <cell r="C12">
            <v>30000</v>
          </cell>
        </row>
        <row r="13">
          <cell r="C13">
            <v>35700</v>
          </cell>
          <cell r="H13">
            <v>0</v>
          </cell>
        </row>
        <row r="14">
          <cell r="C14">
            <v>18000</v>
          </cell>
        </row>
        <row r="15">
          <cell r="C15">
            <v>21600</v>
          </cell>
        </row>
        <row r="16">
          <cell r="C16">
            <v>9000</v>
          </cell>
        </row>
        <row r="17">
          <cell r="C17">
            <v>18500</v>
          </cell>
        </row>
        <row r="18">
          <cell r="C18">
            <v>31000</v>
          </cell>
        </row>
        <row r="19">
          <cell r="C19">
            <v>5500</v>
          </cell>
          <cell r="H19">
            <v>0</v>
          </cell>
        </row>
        <row r="20">
          <cell r="C20">
            <v>30500</v>
          </cell>
        </row>
        <row r="21">
          <cell r="C21">
            <v>20000</v>
          </cell>
        </row>
        <row r="22">
          <cell r="C22">
            <v>29700</v>
          </cell>
        </row>
        <row r="24">
          <cell r="C24">
            <v>1000</v>
          </cell>
          <cell r="D24">
            <v>1000</v>
          </cell>
          <cell r="H24">
            <v>0</v>
          </cell>
        </row>
        <row r="25">
          <cell r="C25">
            <v>15000</v>
          </cell>
          <cell r="H25">
            <v>0</v>
          </cell>
        </row>
        <row r="27">
          <cell r="C27">
            <v>1800</v>
          </cell>
        </row>
        <row r="28">
          <cell r="C28">
            <v>5500</v>
          </cell>
          <cell r="H28">
            <v>0</v>
          </cell>
        </row>
        <row r="29">
          <cell r="C29">
            <v>1000</v>
          </cell>
          <cell r="D29"/>
          <cell r="H29">
            <v>0</v>
          </cell>
        </row>
        <row r="30">
          <cell r="C30">
            <v>1000</v>
          </cell>
        </row>
        <row r="31">
          <cell r="C31">
            <v>3200</v>
          </cell>
          <cell r="H31">
            <v>0</v>
          </cell>
        </row>
        <row r="32">
          <cell r="C32">
            <v>5000</v>
          </cell>
        </row>
        <row r="34">
          <cell r="C34">
            <v>8700</v>
          </cell>
          <cell r="H34">
            <v>0</v>
          </cell>
        </row>
        <row r="35">
          <cell r="C35">
            <v>2300</v>
          </cell>
          <cell r="D35"/>
          <cell r="H35">
            <v>0</v>
          </cell>
        </row>
        <row r="36">
          <cell r="C36">
            <v>6500</v>
          </cell>
        </row>
        <row r="38">
          <cell r="C38">
            <v>5500</v>
          </cell>
        </row>
        <row r="39">
          <cell r="C39">
            <v>6800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MA55"/>
      <sheetName val="Sheet1"/>
      <sheetName val="Sheet2"/>
    </sheetNames>
    <sheetDataSet>
      <sheetData sheetId="0">
        <row r="40">
          <cell r="K40" t="str">
            <v>1,798,000.00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ธ.ค.65"/>
      <sheetName val="ม.ค.65"/>
      <sheetName val="ก.พ.66"/>
      <sheetName val="มี.ค.66"/>
      <sheetName val="เม.ย.66"/>
      <sheetName val="พ.ค.65"/>
      <sheetName val="เมษายน"/>
      <sheetName val="Sheet2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23625.47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zoomScale="98" zoomScaleNormal="98" workbookViewId="0">
      <selection activeCell="I1" sqref="I1:N1048576"/>
    </sheetView>
  </sheetViews>
  <sheetFormatPr defaultRowHeight="21"/>
  <cols>
    <col min="1" max="1" width="4.625" style="4" customWidth="1"/>
    <col min="2" max="2" width="63.25" style="4" customWidth="1"/>
    <col min="3" max="3" width="26.375" style="55" customWidth="1"/>
    <col min="4" max="4" width="16.375" style="55" bestFit="1" customWidth="1"/>
    <col min="5" max="5" width="15.25" style="54" bestFit="1" customWidth="1"/>
    <col min="6" max="6" width="12.625" style="54" bestFit="1" customWidth="1"/>
    <col min="7" max="7" width="10.875" style="54" customWidth="1"/>
    <col min="8" max="8" width="15" style="584" hidden="1" customWidth="1"/>
    <col min="9" max="9" width="7.5" style="54" hidden="1" customWidth="1"/>
    <col min="10" max="10" width="14.5" style="3" hidden="1" customWidth="1"/>
    <col min="11" max="11" width="12.625" style="3" hidden="1" customWidth="1"/>
    <col min="12" max="12" width="14.5" style="4" hidden="1" customWidth="1"/>
    <col min="13" max="13" width="13.75" style="4" hidden="1" customWidth="1"/>
    <col min="14" max="14" width="15.75" style="4" hidden="1" customWidth="1"/>
    <col min="15" max="15" width="14.25" style="4" bestFit="1" customWidth="1"/>
    <col min="16" max="16" width="9.125" style="4"/>
    <col min="17" max="17" width="15.875" style="4" customWidth="1"/>
    <col min="18" max="18" width="13.75" style="4" customWidth="1"/>
    <col min="19" max="19" width="16.75" style="4" customWidth="1"/>
    <col min="20" max="255" width="9.125" style="4"/>
    <col min="256" max="256" width="4.625" style="4" customWidth="1"/>
    <col min="257" max="257" width="65.75" style="4" customWidth="1"/>
    <col min="258" max="258" width="17.625" style="4" customWidth="1"/>
    <col min="259" max="259" width="17.25" style="4" customWidth="1"/>
    <col min="260" max="260" width="13.375" style="4" customWidth="1"/>
    <col min="261" max="261" width="14" style="4" customWidth="1"/>
    <col min="262" max="262" width="14.125" style="4" customWidth="1"/>
    <col min="263" max="263" width="11.125" style="4" customWidth="1"/>
    <col min="264" max="264" width="15.25" style="4" customWidth="1"/>
    <col min="265" max="265" width="12.75" style="4" bestFit="1" customWidth="1"/>
    <col min="266" max="266" width="11.875" style="4" customWidth="1"/>
    <col min="267" max="267" width="10.875" style="4" customWidth="1"/>
    <col min="268" max="268" width="8" style="4" customWidth="1"/>
    <col min="269" max="272" width="9.125" style="4"/>
    <col min="273" max="273" width="15.875" style="4" customWidth="1"/>
    <col min="274" max="274" width="13.75" style="4" customWidth="1"/>
    <col min="275" max="275" width="16.75" style="4" customWidth="1"/>
    <col min="276" max="511" width="9.125" style="4"/>
    <col min="512" max="512" width="4.625" style="4" customWidth="1"/>
    <col min="513" max="513" width="65.75" style="4" customWidth="1"/>
    <col min="514" max="514" width="17.625" style="4" customWidth="1"/>
    <col min="515" max="515" width="17.25" style="4" customWidth="1"/>
    <col min="516" max="516" width="13.375" style="4" customWidth="1"/>
    <col min="517" max="517" width="14" style="4" customWidth="1"/>
    <col min="518" max="518" width="14.125" style="4" customWidth="1"/>
    <col min="519" max="519" width="11.125" style="4" customWidth="1"/>
    <col min="520" max="520" width="15.25" style="4" customWidth="1"/>
    <col min="521" max="521" width="12.75" style="4" bestFit="1" customWidth="1"/>
    <col min="522" max="522" width="11.875" style="4" customWidth="1"/>
    <col min="523" max="523" width="10.875" style="4" customWidth="1"/>
    <col min="524" max="524" width="8" style="4" customWidth="1"/>
    <col min="525" max="528" width="9.125" style="4"/>
    <col min="529" max="529" width="15.875" style="4" customWidth="1"/>
    <col min="530" max="530" width="13.75" style="4" customWidth="1"/>
    <col min="531" max="531" width="16.75" style="4" customWidth="1"/>
    <col min="532" max="767" width="9.125" style="4"/>
    <col min="768" max="768" width="4.625" style="4" customWidth="1"/>
    <col min="769" max="769" width="65.75" style="4" customWidth="1"/>
    <col min="770" max="770" width="17.625" style="4" customWidth="1"/>
    <col min="771" max="771" width="17.25" style="4" customWidth="1"/>
    <col min="772" max="772" width="13.375" style="4" customWidth="1"/>
    <col min="773" max="773" width="14" style="4" customWidth="1"/>
    <col min="774" max="774" width="14.125" style="4" customWidth="1"/>
    <col min="775" max="775" width="11.125" style="4" customWidth="1"/>
    <col min="776" max="776" width="15.25" style="4" customWidth="1"/>
    <col min="777" max="777" width="12.75" style="4" bestFit="1" customWidth="1"/>
    <col min="778" max="778" width="11.875" style="4" customWidth="1"/>
    <col min="779" max="779" width="10.875" style="4" customWidth="1"/>
    <col min="780" max="780" width="8" style="4" customWidth="1"/>
    <col min="781" max="784" width="9.125" style="4"/>
    <col min="785" max="785" width="15.875" style="4" customWidth="1"/>
    <col min="786" max="786" width="13.75" style="4" customWidth="1"/>
    <col min="787" max="787" width="16.75" style="4" customWidth="1"/>
    <col min="788" max="1023" width="9.125" style="4"/>
    <col min="1024" max="1024" width="4.625" style="4" customWidth="1"/>
    <col min="1025" max="1025" width="65.75" style="4" customWidth="1"/>
    <col min="1026" max="1026" width="17.625" style="4" customWidth="1"/>
    <col min="1027" max="1027" width="17.25" style="4" customWidth="1"/>
    <col min="1028" max="1028" width="13.375" style="4" customWidth="1"/>
    <col min="1029" max="1029" width="14" style="4" customWidth="1"/>
    <col min="1030" max="1030" width="14.125" style="4" customWidth="1"/>
    <col min="1031" max="1031" width="11.125" style="4" customWidth="1"/>
    <col min="1032" max="1032" width="15.25" style="4" customWidth="1"/>
    <col min="1033" max="1033" width="12.75" style="4" bestFit="1" customWidth="1"/>
    <col min="1034" max="1034" width="11.875" style="4" customWidth="1"/>
    <col min="1035" max="1035" width="10.875" style="4" customWidth="1"/>
    <col min="1036" max="1036" width="8" style="4" customWidth="1"/>
    <col min="1037" max="1040" width="9.125" style="4"/>
    <col min="1041" max="1041" width="15.875" style="4" customWidth="1"/>
    <col min="1042" max="1042" width="13.75" style="4" customWidth="1"/>
    <col min="1043" max="1043" width="16.75" style="4" customWidth="1"/>
    <col min="1044" max="1279" width="9.125" style="4"/>
    <col min="1280" max="1280" width="4.625" style="4" customWidth="1"/>
    <col min="1281" max="1281" width="65.75" style="4" customWidth="1"/>
    <col min="1282" max="1282" width="17.625" style="4" customWidth="1"/>
    <col min="1283" max="1283" width="17.25" style="4" customWidth="1"/>
    <col min="1284" max="1284" width="13.375" style="4" customWidth="1"/>
    <col min="1285" max="1285" width="14" style="4" customWidth="1"/>
    <col min="1286" max="1286" width="14.125" style="4" customWidth="1"/>
    <col min="1287" max="1287" width="11.125" style="4" customWidth="1"/>
    <col min="1288" max="1288" width="15.25" style="4" customWidth="1"/>
    <col min="1289" max="1289" width="12.75" style="4" bestFit="1" customWidth="1"/>
    <col min="1290" max="1290" width="11.875" style="4" customWidth="1"/>
    <col min="1291" max="1291" width="10.875" style="4" customWidth="1"/>
    <col min="1292" max="1292" width="8" style="4" customWidth="1"/>
    <col min="1293" max="1296" width="9.125" style="4"/>
    <col min="1297" max="1297" width="15.875" style="4" customWidth="1"/>
    <col min="1298" max="1298" width="13.75" style="4" customWidth="1"/>
    <col min="1299" max="1299" width="16.75" style="4" customWidth="1"/>
    <col min="1300" max="1535" width="9.125" style="4"/>
    <col min="1536" max="1536" width="4.625" style="4" customWidth="1"/>
    <col min="1537" max="1537" width="65.75" style="4" customWidth="1"/>
    <col min="1538" max="1538" width="17.625" style="4" customWidth="1"/>
    <col min="1539" max="1539" width="17.25" style="4" customWidth="1"/>
    <col min="1540" max="1540" width="13.375" style="4" customWidth="1"/>
    <col min="1541" max="1541" width="14" style="4" customWidth="1"/>
    <col min="1542" max="1542" width="14.125" style="4" customWidth="1"/>
    <col min="1543" max="1543" width="11.125" style="4" customWidth="1"/>
    <col min="1544" max="1544" width="15.25" style="4" customWidth="1"/>
    <col min="1545" max="1545" width="12.75" style="4" bestFit="1" customWidth="1"/>
    <col min="1546" max="1546" width="11.875" style="4" customWidth="1"/>
    <col min="1547" max="1547" width="10.875" style="4" customWidth="1"/>
    <col min="1548" max="1548" width="8" style="4" customWidth="1"/>
    <col min="1549" max="1552" width="9.125" style="4"/>
    <col min="1553" max="1553" width="15.875" style="4" customWidth="1"/>
    <col min="1554" max="1554" width="13.75" style="4" customWidth="1"/>
    <col min="1555" max="1555" width="16.75" style="4" customWidth="1"/>
    <col min="1556" max="1791" width="9.125" style="4"/>
    <col min="1792" max="1792" width="4.625" style="4" customWidth="1"/>
    <col min="1793" max="1793" width="65.75" style="4" customWidth="1"/>
    <col min="1794" max="1794" width="17.625" style="4" customWidth="1"/>
    <col min="1795" max="1795" width="17.25" style="4" customWidth="1"/>
    <col min="1796" max="1796" width="13.375" style="4" customWidth="1"/>
    <col min="1797" max="1797" width="14" style="4" customWidth="1"/>
    <col min="1798" max="1798" width="14.125" style="4" customWidth="1"/>
    <col min="1799" max="1799" width="11.125" style="4" customWidth="1"/>
    <col min="1800" max="1800" width="15.25" style="4" customWidth="1"/>
    <col min="1801" max="1801" width="12.75" style="4" bestFit="1" customWidth="1"/>
    <col min="1802" max="1802" width="11.875" style="4" customWidth="1"/>
    <col min="1803" max="1803" width="10.875" style="4" customWidth="1"/>
    <col min="1804" max="1804" width="8" style="4" customWidth="1"/>
    <col min="1805" max="1808" width="9.125" style="4"/>
    <col min="1809" max="1809" width="15.875" style="4" customWidth="1"/>
    <col min="1810" max="1810" width="13.75" style="4" customWidth="1"/>
    <col min="1811" max="1811" width="16.75" style="4" customWidth="1"/>
    <col min="1812" max="2047" width="9.125" style="4"/>
    <col min="2048" max="2048" width="4.625" style="4" customWidth="1"/>
    <col min="2049" max="2049" width="65.75" style="4" customWidth="1"/>
    <col min="2050" max="2050" width="17.625" style="4" customWidth="1"/>
    <col min="2051" max="2051" width="17.25" style="4" customWidth="1"/>
    <col min="2052" max="2052" width="13.375" style="4" customWidth="1"/>
    <col min="2053" max="2053" width="14" style="4" customWidth="1"/>
    <col min="2054" max="2054" width="14.125" style="4" customWidth="1"/>
    <col min="2055" max="2055" width="11.125" style="4" customWidth="1"/>
    <col min="2056" max="2056" width="15.25" style="4" customWidth="1"/>
    <col min="2057" max="2057" width="12.75" style="4" bestFit="1" customWidth="1"/>
    <col min="2058" max="2058" width="11.875" style="4" customWidth="1"/>
    <col min="2059" max="2059" width="10.875" style="4" customWidth="1"/>
    <col min="2060" max="2060" width="8" style="4" customWidth="1"/>
    <col min="2061" max="2064" width="9.125" style="4"/>
    <col min="2065" max="2065" width="15.875" style="4" customWidth="1"/>
    <col min="2066" max="2066" width="13.75" style="4" customWidth="1"/>
    <col min="2067" max="2067" width="16.75" style="4" customWidth="1"/>
    <col min="2068" max="2303" width="9.125" style="4"/>
    <col min="2304" max="2304" width="4.625" style="4" customWidth="1"/>
    <col min="2305" max="2305" width="65.75" style="4" customWidth="1"/>
    <col min="2306" max="2306" width="17.625" style="4" customWidth="1"/>
    <col min="2307" max="2307" width="17.25" style="4" customWidth="1"/>
    <col min="2308" max="2308" width="13.375" style="4" customWidth="1"/>
    <col min="2309" max="2309" width="14" style="4" customWidth="1"/>
    <col min="2310" max="2310" width="14.125" style="4" customWidth="1"/>
    <col min="2311" max="2311" width="11.125" style="4" customWidth="1"/>
    <col min="2312" max="2312" width="15.25" style="4" customWidth="1"/>
    <col min="2313" max="2313" width="12.75" style="4" bestFit="1" customWidth="1"/>
    <col min="2314" max="2314" width="11.875" style="4" customWidth="1"/>
    <col min="2315" max="2315" width="10.875" style="4" customWidth="1"/>
    <col min="2316" max="2316" width="8" style="4" customWidth="1"/>
    <col min="2317" max="2320" width="9.125" style="4"/>
    <col min="2321" max="2321" width="15.875" style="4" customWidth="1"/>
    <col min="2322" max="2322" width="13.75" style="4" customWidth="1"/>
    <col min="2323" max="2323" width="16.75" style="4" customWidth="1"/>
    <col min="2324" max="2559" width="9.125" style="4"/>
    <col min="2560" max="2560" width="4.625" style="4" customWidth="1"/>
    <col min="2561" max="2561" width="65.75" style="4" customWidth="1"/>
    <col min="2562" max="2562" width="17.625" style="4" customWidth="1"/>
    <col min="2563" max="2563" width="17.25" style="4" customWidth="1"/>
    <col min="2564" max="2564" width="13.375" style="4" customWidth="1"/>
    <col min="2565" max="2565" width="14" style="4" customWidth="1"/>
    <col min="2566" max="2566" width="14.125" style="4" customWidth="1"/>
    <col min="2567" max="2567" width="11.125" style="4" customWidth="1"/>
    <col min="2568" max="2568" width="15.25" style="4" customWidth="1"/>
    <col min="2569" max="2569" width="12.75" style="4" bestFit="1" customWidth="1"/>
    <col min="2570" max="2570" width="11.875" style="4" customWidth="1"/>
    <col min="2571" max="2571" width="10.875" style="4" customWidth="1"/>
    <col min="2572" max="2572" width="8" style="4" customWidth="1"/>
    <col min="2573" max="2576" width="9.125" style="4"/>
    <col min="2577" max="2577" width="15.875" style="4" customWidth="1"/>
    <col min="2578" max="2578" width="13.75" style="4" customWidth="1"/>
    <col min="2579" max="2579" width="16.75" style="4" customWidth="1"/>
    <col min="2580" max="2815" width="9.125" style="4"/>
    <col min="2816" max="2816" width="4.625" style="4" customWidth="1"/>
    <col min="2817" max="2817" width="65.75" style="4" customWidth="1"/>
    <col min="2818" max="2818" width="17.625" style="4" customWidth="1"/>
    <col min="2819" max="2819" width="17.25" style="4" customWidth="1"/>
    <col min="2820" max="2820" width="13.375" style="4" customWidth="1"/>
    <col min="2821" max="2821" width="14" style="4" customWidth="1"/>
    <col min="2822" max="2822" width="14.125" style="4" customWidth="1"/>
    <col min="2823" max="2823" width="11.125" style="4" customWidth="1"/>
    <col min="2824" max="2824" width="15.25" style="4" customWidth="1"/>
    <col min="2825" max="2825" width="12.75" style="4" bestFit="1" customWidth="1"/>
    <col min="2826" max="2826" width="11.875" style="4" customWidth="1"/>
    <col min="2827" max="2827" width="10.875" style="4" customWidth="1"/>
    <col min="2828" max="2828" width="8" style="4" customWidth="1"/>
    <col min="2829" max="2832" width="9.125" style="4"/>
    <col min="2833" max="2833" width="15.875" style="4" customWidth="1"/>
    <col min="2834" max="2834" width="13.75" style="4" customWidth="1"/>
    <col min="2835" max="2835" width="16.75" style="4" customWidth="1"/>
    <col min="2836" max="3071" width="9.125" style="4"/>
    <col min="3072" max="3072" width="4.625" style="4" customWidth="1"/>
    <col min="3073" max="3073" width="65.75" style="4" customWidth="1"/>
    <col min="3074" max="3074" width="17.625" style="4" customWidth="1"/>
    <col min="3075" max="3075" width="17.25" style="4" customWidth="1"/>
    <col min="3076" max="3076" width="13.375" style="4" customWidth="1"/>
    <col min="3077" max="3077" width="14" style="4" customWidth="1"/>
    <col min="3078" max="3078" width="14.125" style="4" customWidth="1"/>
    <col min="3079" max="3079" width="11.125" style="4" customWidth="1"/>
    <col min="3080" max="3080" width="15.25" style="4" customWidth="1"/>
    <col min="3081" max="3081" width="12.75" style="4" bestFit="1" customWidth="1"/>
    <col min="3082" max="3082" width="11.875" style="4" customWidth="1"/>
    <col min="3083" max="3083" width="10.875" style="4" customWidth="1"/>
    <col min="3084" max="3084" width="8" style="4" customWidth="1"/>
    <col min="3085" max="3088" width="9.125" style="4"/>
    <col min="3089" max="3089" width="15.875" style="4" customWidth="1"/>
    <col min="3090" max="3090" width="13.75" style="4" customWidth="1"/>
    <col min="3091" max="3091" width="16.75" style="4" customWidth="1"/>
    <col min="3092" max="3327" width="9.125" style="4"/>
    <col min="3328" max="3328" width="4.625" style="4" customWidth="1"/>
    <col min="3329" max="3329" width="65.75" style="4" customWidth="1"/>
    <col min="3330" max="3330" width="17.625" style="4" customWidth="1"/>
    <col min="3331" max="3331" width="17.25" style="4" customWidth="1"/>
    <col min="3332" max="3332" width="13.375" style="4" customWidth="1"/>
    <col min="3333" max="3333" width="14" style="4" customWidth="1"/>
    <col min="3334" max="3334" width="14.125" style="4" customWidth="1"/>
    <col min="3335" max="3335" width="11.125" style="4" customWidth="1"/>
    <col min="3336" max="3336" width="15.25" style="4" customWidth="1"/>
    <col min="3337" max="3337" width="12.75" style="4" bestFit="1" customWidth="1"/>
    <col min="3338" max="3338" width="11.875" style="4" customWidth="1"/>
    <col min="3339" max="3339" width="10.875" style="4" customWidth="1"/>
    <col min="3340" max="3340" width="8" style="4" customWidth="1"/>
    <col min="3341" max="3344" width="9.125" style="4"/>
    <col min="3345" max="3345" width="15.875" style="4" customWidth="1"/>
    <col min="3346" max="3346" width="13.75" style="4" customWidth="1"/>
    <col min="3347" max="3347" width="16.75" style="4" customWidth="1"/>
    <col min="3348" max="3583" width="9.125" style="4"/>
    <col min="3584" max="3584" width="4.625" style="4" customWidth="1"/>
    <col min="3585" max="3585" width="65.75" style="4" customWidth="1"/>
    <col min="3586" max="3586" width="17.625" style="4" customWidth="1"/>
    <col min="3587" max="3587" width="17.25" style="4" customWidth="1"/>
    <col min="3588" max="3588" width="13.375" style="4" customWidth="1"/>
    <col min="3589" max="3589" width="14" style="4" customWidth="1"/>
    <col min="3590" max="3590" width="14.125" style="4" customWidth="1"/>
    <col min="3591" max="3591" width="11.125" style="4" customWidth="1"/>
    <col min="3592" max="3592" width="15.25" style="4" customWidth="1"/>
    <col min="3593" max="3593" width="12.75" style="4" bestFit="1" customWidth="1"/>
    <col min="3594" max="3594" width="11.875" style="4" customWidth="1"/>
    <col min="3595" max="3595" width="10.875" style="4" customWidth="1"/>
    <col min="3596" max="3596" width="8" style="4" customWidth="1"/>
    <col min="3597" max="3600" width="9.125" style="4"/>
    <col min="3601" max="3601" width="15.875" style="4" customWidth="1"/>
    <col min="3602" max="3602" width="13.75" style="4" customWidth="1"/>
    <col min="3603" max="3603" width="16.75" style="4" customWidth="1"/>
    <col min="3604" max="3839" width="9.125" style="4"/>
    <col min="3840" max="3840" width="4.625" style="4" customWidth="1"/>
    <col min="3841" max="3841" width="65.75" style="4" customWidth="1"/>
    <col min="3842" max="3842" width="17.625" style="4" customWidth="1"/>
    <col min="3843" max="3843" width="17.25" style="4" customWidth="1"/>
    <col min="3844" max="3844" width="13.375" style="4" customWidth="1"/>
    <col min="3845" max="3845" width="14" style="4" customWidth="1"/>
    <col min="3846" max="3846" width="14.125" style="4" customWidth="1"/>
    <col min="3847" max="3847" width="11.125" style="4" customWidth="1"/>
    <col min="3848" max="3848" width="15.25" style="4" customWidth="1"/>
    <col min="3849" max="3849" width="12.75" style="4" bestFit="1" customWidth="1"/>
    <col min="3850" max="3850" width="11.875" style="4" customWidth="1"/>
    <col min="3851" max="3851" width="10.875" style="4" customWidth="1"/>
    <col min="3852" max="3852" width="8" style="4" customWidth="1"/>
    <col min="3853" max="3856" width="9.125" style="4"/>
    <col min="3857" max="3857" width="15.875" style="4" customWidth="1"/>
    <col min="3858" max="3858" width="13.75" style="4" customWidth="1"/>
    <col min="3859" max="3859" width="16.75" style="4" customWidth="1"/>
    <col min="3860" max="4095" width="9.125" style="4"/>
    <col min="4096" max="4096" width="4.625" style="4" customWidth="1"/>
    <col min="4097" max="4097" width="65.75" style="4" customWidth="1"/>
    <col min="4098" max="4098" width="17.625" style="4" customWidth="1"/>
    <col min="4099" max="4099" width="17.25" style="4" customWidth="1"/>
    <col min="4100" max="4100" width="13.375" style="4" customWidth="1"/>
    <col min="4101" max="4101" width="14" style="4" customWidth="1"/>
    <col min="4102" max="4102" width="14.125" style="4" customWidth="1"/>
    <col min="4103" max="4103" width="11.125" style="4" customWidth="1"/>
    <col min="4104" max="4104" width="15.25" style="4" customWidth="1"/>
    <col min="4105" max="4105" width="12.75" style="4" bestFit="1" customWidth="1"/>
    <col min="4106" max="4106" width="11.875" style="4" customWidth="1"/>
    <col min="4107" max="4107" width="10.875" style="4" customWidth="1"/>
    <col min="4108" max="4108" width="8" style="4" customWidth="1"/>
    <col min="4109" max="4112" width="9.125" style="4"/>
    <col min="4113" max="4113" width="15.875" style="4" customWidth="1"/>
    <col min="4114" max="4114" width="13.75" style="4" customWidth="1"/>
    <col min="4115" max="4115" width="16.75" style="4" customWidth="1"/>
    <col min="4116" max="4351" width="9.125" style="4"/>
    <col min="4352" max="4352" width="4.625" style="4" customWidth="1"/>
    <col min="4353" max="4353" width="65.75" style="4" customWidth="1"/>
    <col min="4354" max="4354" width="17.625" style="4" customWidth="1"/>
    <col min="4355" max="4355" width="17.25" style="4" customWidth="1"/>
    <col min="4356" max="4356" width="13.375" style="4" customWidth="1"/>
    <col min="4357" max="4357" width="14" style="4" customWidth="1"/>
    <col min="4358" max="4358" width="14.125" style="4" customWidth="1"/>
    <col min="4359" max="4359" width="11.125" style="4" customWidth="1"/>
    <col min="4360" max="4360" width="15.25" style="4" customWidth="1"/>
    <col min="4361" max="4361" width="12.75" style="4" bestFit="1" customWidth="1"/>
    <col min="4362" max="4362" width="11.875" style="4" customWidth="1"/>
    <col min="4363" max="4363" width="10.875" style="4" customWidth="1"/>
    <col min="4364" max="4364" width="8" style="4" customWidth="1"/>
    <col min="4365" max="4368" width="9.125" style="4"/>
    <col min="4369" max="4369" width="15.875" style="4" customWidth="1"/>
    <col min="4370" max="4370" width="13.75" style="4" customWidth="1"/>
    <col min="4371" max="4371" width="16.75" style="4" customWidth="1"/>
    <col min="4372" max="4607" width="9.125" style="4"/>
    <col min="4608" max="4608" width="4.625" style="4" customWidth="1"/>
    <col min="4609" max="4609" width="65.75" style="4" customWidth="1"/>
    <col min="4610" max="4610" width="17.625" style="4" customWidth="1"/>
    <col min="4611" max="4611" width="17.25" style="4" customWidth="1"/>
    <col min="4612" max="4612" width="13.375" style="4" customWidth="1"/>
    <col min="4613" max="4613" width="14" style="4" customWidth="1"/>
    <col min="4614" max="4614" width="14.125" style="4" customWidth="1"/>
    <col min="4615" max="4615" width="11.125" style="4" customWidth="1"/>
    <col min="4616" max="4616" width="15.25" style="4" customWidth="1"/>
    <col min="4617" max="4617" width="12.75" style="4" bestFit="1" customWidth="1"/>
    <col min="4618" max="4618" width="11.875" style="4" customWidth="1"/>
    <col min="4619" max="4619" width="10.875" style="4" customWidth="1"/>
    <col min="4620" max="4620" width="8" style="4" customWidth="1"/>
    <col min="4621" max="4624" width="9.125" style="4"/>
    <col min="4625" max="4625" width="15.875" style="4" customWidth="1"/>
    <col min="4626" max="4626" width="13.75" style="4" customWidth="1"/>
    <col min="4627" max="4627" width="16.75" style="4" customWidth="1"/>
    <col min="4628" max="4863" width="9.125" style="4"/>
    <col min="4864" max="4864" width="4.625" style="4" customWidth="1"/>
    <col min="4865" max="4865" width="65.75" style="4" customWidth="1"/>
    <col min="4866" max="4866" width="17.625" style="4" customWidth="1"/>
    <col min="4867" max="4867" width="17.25" style="4" customWidth="1"/>
    <col min="4868" max="4868" width="13.375" style="4" customWidth="1"/>
    <col min="4869" max="4869" width="14" style="4" customWidth="1"/>
    <col min="4870" max="4870" width="14.125" style="4" customWidth="1"/>
    <col min="4871" max="4871" width="11.125" style="4" customWidth="1"/>
    <col min="4872" max="4872" width="15.25" style="4" customWidth="1"/>
    <col min="4873" max="4873" width="12.75" style="4" bestFit="1" customWidth="1"/>
    <col min="4874" max="4874" width="11.875" style="4" customWidth="1"/>
    <col min="4875" max="4875" width="10.875" style="4" customWidth="1"/>
    <col min="4876" max="4876" width="8" style="4" customWidth="1"/>
    <col min="4877" max="4880" width="9.125" style="4"/>
    <col min="4881" max="4881" width="15.875" style="4" customWidth="1"/>
    <col min="4882" max="4882" width="13.75" style="4" customWidth="1"/>
    <col min="4883" max="4883" width="16.75" style="4" customWidth="1"/>
    <col min="4884" max="5119" width="9.125" style="4"/>
    <col min="5120" max="5120" width="4.625" style="4" customWidth="1"/>
    <col min="5121" max="5121" width="65.75" style="4" customWidth="1"/>
    <col min="5122" max="5122" width="17.625" style="4" customWidth="1"/>
    <col min="5123" max="5123" width="17.25" style="4" customWidth="1"/>
    <col min="5124" max="5124" width="13.375" style="4" customWidth="1"/>
    <col min="5125" max="5125" width="14" style="4" customWidth="1"/>
    <col min="5126" max="5126" width="14.125" style="4" customWidth="1"/>
    <col min="5127" max="5127" width="11.125" style="4" customWidth="1"/>
    <col min="5128" max="5128" width="15.25" style="4" customWidth="1"/>
    <col min="5129" max="5129" width="12.75" style="4" bestFit="1" customWidth="1"/>
    <col min="5130" max="5130" width="11.875" style="4" customWidth="1"/>
    <col min="5131" max="5131" width="10.875" style="4" customWidth="1"/>
    <col min="5132" max="5132" width="8" style="4" customWidth="1"/>
    <col min="5133" max="5136" width="9.125" style="4"/>
    <col min="5137" max="5137" width="15.875" style="4" customWidth="1"/>
    <col min="5138" max="5138" width="13.75" style="4" customWidth="1"/>
    <col min="5139" max="5139" width="16.75" style="4" customWidth="1"/>
    <col min="5140" max="5375" width="9.125" style="4"/>
    <col min="5376" max="5376" width="4.625" style="4" customWidth="1"/>
    <col min="5377" max="5377" width="65.75" style="4" customWidth="1"/>
    <col min="5378" max="5378" width="17.625" style="4" customWidth="1"/>
    <col min="5379" max="5379" width="17.25" style="4" customWidth="1"/>
    <col min="5380" max="5380" width="13.375" style="4" customWidth="1"/>
    <col min="5381" max="5381" width="14" style="4" customWidth="1"/>
    <col min="5382" max="5382" width="14.125" style="4" customWidth="1"/>
    <col min="5383" max="5383" width="11.125" style="4" customWidth="1"/>
    <col min="5384" max="5384" width="15.25" style="4" customWidth="1"/>
    <col min="5385" max="5385" width="12.75" style="4" bestFit="1" customWidth="1"/>
    <col min="5386" max="5386" width="11.875" style="4" customWidth="1"/>
    <col min="5387" max="5387" width="10.875" style="4" customWidth="1"/>
    <col min="5388" max="5388" width="8" style="4" customWidth="1"/>
    <col min="5389" max="5392" width="9.125" style="4"/>
    <col min="5393" max="5393" width="15.875" style="4" customWidth="1"/>
    <col min="5394" max="5394" width="13.75" style="4" customWidth="1"/>
    <col min="5395" max="5395" width="16.75" style="4" customWidth="1"/>
    <col min="5396" max="5631" width="9.125" style="4"/>
    <col min="5632" max="5632" width="4.625" style="4" customWidth="1"/>
    <col min="5633" max="5633" width="65.75" style="4" customWidth="1"/>
    <col min="5634" max="5634" width="17.625" style="4" customWidth="1"/>
    <col min="5635" max="5635" width="17.25" style="4" customWidth="1"/>
    <col min="5636" max="5636" width="13.375" style="4" customWidth="1"/>
    <col min="5637" max="5637" width="14" style="4" customWidth="1"/>
    <col min="5638" max="5638" width="14.125" style="4" customWidth="1"/>
    <col min="5639" max="5639" width="11.125" style="4" customWidth="1"/>
    <col min="5640" max="5640" width="15.25" style="4" customWidth="1"/>
    <col min="5641" max="5641" width="12.75" style="4" bestFit="1" customWidth="1"/>
    <col min="5642" max="5642" width="11.875" style="4" customWidth="1"/>
    <col min="5643" max="5643" width="10.875" style="4" customWidth="1"/>
    <col min="5644" max="5644" width="8" style="4" customWidth="1"/>
    <col min="5645" max="5648" width="9.125" style="4"/>
    <col min="5649" max="5649" width="15.875" style="4" customWidth="1"/>
    <col min="5650" max="5650" width="13.75" style="4" customWidth="1"/>
    <col min="5651" max="5651" width="16.75" style="4" customWidth="1"/>
    <col min="5652" max="5887" width="9.125" style="4"/>
    <col min="5888" max="5888" width="4.625" style="4" customWidth="1"/>
    <col min="5889" max="5889" width="65.75" style="4" customWidth="1"/>
    <col min="5890" max="5890" width="17.625" style="4" customWidth="1"/>
    <col min="5891" max="5891" width="17.25" style="4" customWidth="1"/>
    <col min="5892" max="5892" width="13.375" style="4" customWidth="1"/>
    <col min="5893" max="5893" width="14" style="4" customWidth="1"/>
    <col min="5894" max="5894" width="14.125" style="4" customWidth="1"/>
    <col min="5895" max="5895" width="11.125" style="4" customWidth="1"/>
    <col min="5896" max="5896" width="15.25" style="4" customWidth="1"/>
    <col min="5897" max="5897" width="12.75" style="4" bestFit="1" customWidth="1"/>
    <col min="5898" max="5898" width="11.875" style="4" customWidth="1"/>
    <col min="5899" max="5899" width="10.875" style="4" customWidth="1"/>
    <col min="5900" max="5900" width="8" style="4" customWidth="1"/>
    <col min="5901" max="5904" width="9.125" style="4"/>
    <col min="5905" max="5905" width="15.875" style="4" customWidth="1"/>
    <col min="5906" max="5906" width="13.75" style="4" customWidth="1"/>
    <col min="5907" max="5907" width="16.75" style="4" customWidth="1"/>
    <col min="5908" max="6143" width="9.125" style="4"/>
    <col min="6144" max="6144" width="4.625" style="4" customWidth="1"/>
    <col min="6145" max="6145" width="65.75" style="4" customWidth="1"/>
    <col min="6146" max="6146" width="17.625" style="4" customWidth="1"/>
    <col min="6147" max="6147" width="17.25" style="4" customWidth="1"/>
    <col min="6148" max="6148" width="13.375" style="4" customWidth="1"/>
    <col min="6149" max="6149" width="14" style="4" customWidth="1"/>
    <col min="6150" max="6150" width="14.125" style="4" customWidth="1"/>
    <col min="6151" max="6151" width="11.125" style="4" customWidth="1"/>
    <col min="6152" max="6152" width="15.25" style="4" customWidth="1"/>
    <col min="6153" max="6153" width="12.75" style="4" bestFit="1" customWidth="1"/>
    <col min="6154" max="6154" width="11.875" style="4" customWidth="1"/>
    <col min="6155" max="6155" width="10.875" style="4" customWidth="1"/>
    <col min="6156" max="6156" width="8" style="4" customWidth="1"/>
    <col min="6157" max="6160" width="9.125" style="4"/>
    <col min="6161" max="6161" width="15.875" style="4" customWidth="1"/>
    <col min="6162" max="6162" width="13.75" style="4" customWidth="1"/>
    <col min="6163" max="6163" width="16.75" style="4" customWidth="1"/>
    <col min="6164" max="6399" width="9.125" style="4"/>
    <col min="6400" max="6400" width="4.625" style="4" customWidth="1"/>
    <col min="6401" max="6401" width="65.75" style="4" customWidth="1"/>
    <col min="6402" max="6402" width="17.625" style="4" customWidth="1"/>
    <col min="6403" max="6403" width="17.25" style="4" customWidth="1"/>
    <col min="6404" max="6404" width="13.375" style="4" customWidth="1"/>
    <col min="6405" max="6405" width="14" style="4" customWidth="1"/>
    <col min="6406" max="6406" width="14.125" style="4" customWidth="1"/>
    <col min="6407" max="6407" width="11.125" style="4" customWidth="1"/>
    <col min="6408" max="6408" width="15.25" style="4" customWidth="1"/>
    <col min="6409" max="6409" width="12.75" style="4" bestFit="1" customWidth="1"/>
    <col min="6410" max="6410" width="11.875" style="4" customWidth="1"/>
    <col min="6411" max="6411" width="10.875" style="4" customWidth="1"/>
    <col min="6412" max="6412" width="8" style="4" customWidth="1"/>
    <col min="6413" max="6416" width="9.125" style="4"/>
    <col min="6417" max="6417" width="15.875" style="4" customWidth="1"/>
    <col min="6418" max="6418" width="13.75" style="4" customWidth="1"/>
    <col min="6419" max="6419" width="16.75" style="4" customWidth="1"/>
    <col min="6420" max="6655" width="9.125" style="4"/>
    <col min="6656" max="6656" width="4.625" style="4" customWidth="1"/>
    <col min="6657" max="6657" width="65.75" style="4" customWidth="1"/>
    <col min="6658" max="6658" width="17.625" style="4" customWidth="1"/>
    <col min="6659" max="6659" width="17.25" style="4" customWidth="1"/>
    <col min="6660" max="6660" width="13.375" style="4" customWidth="1"/>
    <col min="6661" max="6661" width="14" style="4" customWidth="1"/>
    <col min="6662" max="6662" width="14.125" style="4" customWidth="1"/>
    <col min="6663" max="6663" width="11.125" style="4" customWidth="1"/>
    <col min="6664" max="6664" width="15.25" style="4" customWidth="1"/>
    <col min="6665" max="6665" width="12.75" style="4" bestFit="1" customWidth="1"/>
    <col min="6666" max="6666" width="11.875" style="4" customWidth="1"/>
    <col min="6667" max="6667" width="10.875" style="4" customWidth="1"/>
    <col min="6668" max="6668" width="8" style="4" customWidth="1"/>
    <col min="6669" max="6672" width="9.125" style="4"/>
    <col min="6673" max="6673" width="15.875" style="4" customWidth="1"/>
    <col min="6674" max="6674" width="13.75" style="4" customWidth="1"/>
    <col min="6675" max="6675" width="16.75" style="4" customWidth="1"/>
    <col min="6676" max="6911" width="9.125" style="4"/>
    <col min="6912" max="6912" width="4.625" style="4" customWidth="1"/>
    <col min="6913" max="6913" width="65.75" style="4" customWidth="1"/>
    <col min="6914" max="6914" width="17.625" style="4" customWidth="1"/>
    <col min="6915" max="6915" width="17.25" style="4" customWidth="1"/>
    <col min="6916" max="6916" width="13.375" style="4" customWidth="1"/>
    <col min="6917" max="6917" width="14" style="4" customWidth="1"/>
    <col min="6918" max="6918" width="14.125" style="4" customWidth="1"/>
    <col min="6919" max="6919" width="11.125" style="4" customWidth="1"/>
    <col min="6920" max="6920" width="15.25" style="4" customWidth="1"/>
    <col min="6921" max="6921" width="12.75" style="4" bestFit="1" customWidth="1"/>
    <col min="6922" max="6922" width="11.875" style="4" customWidth="1"/>
    <col min="6923" max="6923" width="10.875" style="4" customWidth="1"/>
    <col min="6924" max="6924" width="8" style="4" customWidth="1"/>
    <col min="6925" max="6928" width="9.125" style="4"/>
    <col min="6929" max="6929" width="15.875" style="4" customWidth="1"/>
    <col min="6930" max="6930" width="13.75" style="4" customWidth="1"/>
    <col min="6931" max="6931" width="16.75" style="4" customWidth="1"/>
    <col min="6932" max="7167" width="9.125" style="4"/>
    <col min="7168" max="7168" width="4.625" style="4" customWidth="1"/>
    <col min="7169" max="7169" width="65.75" style="4" customWidth="1"/>
    <col min="7170" max="7170" width="17.625" style="4" customWidth="1"/>
    <col min="7171" max="7171" width="17.25" style="4" customWidth="1"/>
    <col min="7172" max="7172" width="13.375" style="4" customWidth="1"/>
    <col min="7173" max="7173" width="14" style="4" customWidth="1"/>
    <col min="7174" max="7174" width="14.125" style="4" customWidth="1"/>
    <col min="7175" max="7175" width="11.125" style="4" customWidth="1"/>
    <col min="7176" max="7176" width="15.25" style="4" customWidth="1"/>
    <col min="7177" max="7177" width="12.75" style="4" bestFit="1" customWidth="1"/>
    <col min="7178" max="7178" width="11.875" style="4" customWidth="1"/>
    <col min="7179" max="7179" width="10.875" style="4" customWidth="1"/>
    <col min="7180" max="7180" width="8" style="4" customWidth="1"/>
    <col min="7181" max="7184" width="9.125" style="4"/>
    <col min="7185" max="7185" width="15.875" style="4" customWidth="1"/>
    <col min="7186" max="7186" width="13.75" style="4" customWidth="1"/>
    <col min="7187" max="7187" width="16.75" style="4" customWidth="1"/>
    <col min="7188" max="7423" width="9.125" style="4"/>
    <col min="7424" max="7424" width="4.625" style="4" customWidth="1"/>
    <col min="7425" max="7425" width="65.75" style="4" customWidth="1"/>
    <col min="7426" max="7426" width="17.625" style="4" customWidth="1"/>
    <col min="7427" max="7427" width="17.25" style="4" customWidth="1"/>
    <col min="7428" max="7428" width="13.375" style="4" customWidth="1"/>
    <col min="7429" max="7429" width="14" style="4" customWidth="1"/>
    <col min="7430" max="7430" width="14.125" style="4" customWidth="1"/>
    <col min="7431" max="7431" width="11.125" style="4" customWidth="1"/>
    <col min="7432" max="7432" width="15.25" style="4" customWidth="1"/>
    <col min="7433" max="7433" width="12.75" style="4" bestFit="1" customWidth="1"/>
    <col min="7434" max="7434" width="11.875" style="4" customWidth="1"/>
    <col min="7435" max="7435" width="10.875" style="4" customWidth="1"/>
    <col min="7436" max="7436" width="8" style="4" customWidth="1"/>
    <col min="7437" max="7440" width="9.125" style="4"/>
    <col min="7441" max="7441" width="15.875" style="4" customWidth="1"/>
    <col min="7442" max="7442" width="13.75" style="4" customWidth="1"/>
    <col min="7443" max="7443" width="16.75" style="4" customWidth="1"/>
    <col min="7444" max="7679" width="9.125" style="4"/>
    <col min="7680" max="7680" width="4.625" style="4" customWidth="1"/>
    <col min="7681" max="7681" width="65.75" style="4" customWidth="1"/>
    <col min="7682" max="7682" width="17.625" style="4" customWidth="1"/>
    <col min="7683" max="7683" width="17.25" style="4" customWidth="1"/>
    <col min="7684" max="7684" width="13.375" style="4" customWidth="1"/>
    <col min="7685" max="7685" width="14" style="4" customWidth="1"/>
    <col min="7686" max="7686" width="14.125" style="4" customWidth="1"/>
    <col min="7687" max="7687" width="11.125" style="4" customWidth="1"/>
    <col min="7688" max="7688" width="15.25" style="4" customWidth="1"/>
    <col min="7689" max="7689" width="12.75" style="4" bestFit="1" customWidth="1"/>
    <col min="7690" max="7690" width="11.875" style="4" customWidth="1"/>
    <col min="7691" max="7691" width="10.875" style="4" customWidth="1"/>
    <col min="7692" max="7692" width="8" style="4" customWidth="1"/>
    <col min="7693" max="7696" width="9.125" style="4"/>
    <col min="7697" max="7697" width="15.875" style="4" customWidth="1"/>
    <col min="7698" max="7698" width="13.75" style="4" customWidth="1"/>
    <col min="7699" max="7699" width="16.75" style="4" customWidth="1"/>
    <col min="7700" max="7935" width="9.125" style="4"/>
    <col min="7936" max="7936" width="4.625" style="4" customWidth="1"/>
    <col min="7937" max="7937" width="65.75" style="4" customWidth="1"/>
    <col min="7938" max="7938" width="17.625" style="4" customWidth="1"/>
    <col min="7939" max="7939" width="17.25" style="4" customWidth="1"/>
    <col min="7940" max="7940" width="13.375" style="4" customWidth="1"/>
    <col min="7941" max="7941" width="14" style="4" customWidth="1"/>
    <col min="7942" max="7942" width="14.125" style="4" customWidth="1"/>
    <col min="7943" max="7943" width="11.125" style="4" customWidth="1"/>
    <col min="7944" max="7944" width="15.25" style="4" customWidth="1"/>
    <col min="7945" max="7945" width="12.75" style="4" bestFit="1" customWidth="1"/>
    <col min="7946" max="7946" width="11.875" style="4" customWidth="1"/>
    <col min="7947" max="7947" width="10.875" style="4" customWidth="1"/>
    <col min="7948" max="7948" width="8" style="4" customWidth="1"/>
    <col min="7949" max="7952" width="9.125" style="4"/>
    <col min="7953" max="7953" width="15.875" style="4" customWidth="1"/>
    <col min="7954" max="7954" width="13.75" style="4" customWidth="1"/>
    <col min="7955" max="7955" width="16.75" style="4" customWidth="1"/>
    <col min="7956" max="8191" width="9.125" style="4"/>
    <col min="8192" max="8192" width="4.625" style="4" customWidth="1"/>
    <col min="8193" max="8193" width="65.75" style="4" customWidth="1"/>
    <col min="8194" max="8194" width="17.625" style="4" customWidth="1"/>
    <col min="8195" max="8195" width="17.25" style="4" customWidth="1"/>
    <col min="8196" max="8196" width="13.375" style="4" customWidth="1"/>
    <col min="8197" max="8197" width="14" style="4" customWidth="1"/>
    <col min="8198" max="8198" width="14.125" style="4" customWidth="1"/>
    <col min="8199" max="8199" width="11.125" style="4" customWidth="1"/>
    <col min="8200" max="8200" width="15.25" style="4" customWidth="1"/>
    <col min="8201" max="8201" width="12.75" style="4" bestFit="1" customWidth="1"/>
    <col min="8202" max="8202" width="11.875" style="4" customWidth="1"/>
    <col min="8203" max="8203" width="10.875" style="4" customWidth="1"/>
    <col min="8204" max="8204" width="8" style="4" customWidth="1"/>
    <col min="8205" max="8208" width="9.125" style="4"/>
    <col min="8209" max="8209" width="15.875" style="4" customWidth="1"/>
    <col min="8210" max="8210" width="13.75" style="4" customWidth="1"/>
    <col min="8211" max="8211" width="16.75" style="4" customWidth="1"/>
    <col min="8212" max="8447" width="9.125" style="4"/>
    <col min="8448" max="8448" width="4.625" style="4" customWidth="1"/>
    <col min="8449" max="8449" width="65.75" style="4" customWidth="1"/>
    <col min="8450" max="8450" width="17.625" style="4" customWidth="1"/>
    <col min="8451" max="8451" width="17.25" style="4" customWidth="1"/>
    <col min="8452" max="8452" width="13.375" style="4" customWidth="1"/>
    <col min="8453" max="8453" width="14" style="4" customWidth="1"/>
    <col min="8454" max="8454" width="14.125" style="4" customWidth="1"/>
    <col min="8455" max="8455" width="11.125" style="4" customWidth="1"/>
    <col min="8456" max="8456" width="15.25" style="4" customWidth="1"/>
    <col min="8457" max="8457" width="12.75" style="4" bestFit="1" customWidth="1"/>
    <col min="8458" max="8458" width="11.875" style="4" customWidth="1"/>
    <col min="8459" max="8459" width="10.875" style="4" customWidth="1"/>
    <col min="8460" max="8460" width="8" style="4" customWidth="1"/>
    <col min="8461" max="8464" width="9.125" style="4"/>
    <col min="8465" max="8465" width="15.875" style="4" customWidth="1"/>
    <col min="8466" max="8466" width="13.75" style="4" customWidth="1"/>
    <col min="8467" max="8467" width="16.75" style="4" customWidth="1"/>
    <col min="8468" max="8703" width="9.125" style="4"/>
    <col min="8704" max="8704" width="4.625" style="4" customWidth="1"/>
    <col min="8705" max="8705" width="65.75" style="4" customWidth="1"/>
    <col min="8706" max="8706" width="17.625" style="4" customWidth="1"/>
    <col min="8707" max="8707" width="17.25" style="4" customWidth="1"/>
    <col min="8708" max="8708" width="13.375" style="4" customWidth="1"/>
    <col min="8709" max="8709" width="14" style="4" customWidth="1"/>
    <col min="8710" max="8710" width="14.125" style="4" customWidth="1"/>
    <col min="8711" max="8711" width="11.125" style="4" customWidth="1"/>
    <col min="8712" max="8712" width="15.25" style="4" customWidth="1"/>
    <col min="8713" max="8713" width="12.75" style="4" bestFit="1" customWidth="1"/>
    <col min="8714" max="8714" width="11.875" style="4" customWidth="1"/>
    <col min="8715" max="8715" width="10.875" style="4" customWidth="1"/>
    <col min="8716" max="8716" width="8" style="4" customWidth="1"/>
    <col min="8717" max="8720" width="9.125" style="4"/>
    <col min="8721" max="8721" width="15.875" style="4" customWidth="1"/>
    <col min="8722" max="8722" width="13.75" style="4" customWidth="1"/>
    <col min="8723" max="8723" width="16.75" style="4" customWidth="1"/>
    <col min="8724" max="8959" width="9.125" style="4"/>
    <col min="8960" max="8960" width="4.625" style="4" customWidth="1"/>
    <col min="8961" max="8961" width="65.75" style="4" customWidth="1"/>
    <col min="8962" max="8962" width="17.625" style="4" customWidth="1"/>
    <col min="8963" max="8963" width="17.25" style="4" customWidth="1"/>
    <col min="8964" max="8964" width="13.375" style="4" customWidth="1"/>
    <col min="8965" max="8965" width="14" style="4" customWidth="1"/>
    <col min="8966" max="8966" width="14.125" style="4" customWidth="1"/>
    <col min="8967" max="8967" width="11.125" style="4" customWidth="1"/>
    <col min="8968" max="8968" width="15.25" style="4" customWidth="1"/>
    <col min="8969" max="8969" width="12.75" style="4" bestFit="1" customWidth="1"/>
    <col min="8970" max="8970" width="11.875" style="4" customWidth="1"/>
    <col min="8971" max="8971" width="10.875" style="4" customWidth="1"/>
    <col min="8972" max="8972" width="8" style="4" customWidth="1"/>
    <col min="8973" max="8976" width="9.125" style="4"/>
    <col min="8977" max="8977" width="15.875" style="4" customWidth="1"/>
    <col min="8978" max="8978" width="13.75" style="4" customWidth="1"/>
    <col min="8979" max="8979" width="16.75" style="4" customWidth="1"/>
    <col min="8980" max="9215" width="9.125" style="4"/>
    <col min="9216" max="9216" width="4.625" style="4" customWidth="1"/>
    <col min="9217" max="9217" width="65.75" style="4" customWidth="1"/>
    <col min="9218" max="9218" width="17.625" style="4" customWidth="1"/>
    <col min="9219" max="9219" width="17.25" style="4" customWidth="1"/>
    <col min="9220" max="9220" width="13.375" style="4" customWidth="1"/>
    <col min="9221" max="9221" width="14" style="4" customWidth="1"/>
    <col min="9222" max="9222" width="14.125" style="4" customWidth="1"/>
    <col min="9223" max="9223" width="11.125" style="4" customWidth="1"/>
    <col min="9224" max="9224" width="15.25" style="4" customWidth="1"/>
    <col min="9225" max="9225" width="12.75" style="4" bestFit="1" customWidth="1"/>
    <col min="9226" max="9226" width="11.875" style="4" customWidth="1"/>
    <col min="9227" max="9227" width="10.875" style="4" customWidth="1"/>
    <col min="9228" max="9228" width="8" style="4" customWidth="1"/>
    <col min="9229" max="9232" width="9.125" style="4"/>
    <col min="9233" max="9233" width="15.875" style="4" customWidth="1"/>
    <col min="9234" max="9234" width="13.75" style="4" customWidth="1"/>
    <col min="9235" max="9235" width="16.75" style="4" customWidth="1"/>
    <col min="9236" max="9471" width="9.125" style="4"/>
    <col min="9472" max="9472" width="4.625" style="4" customWidth="1"/>
    <col min="9473" max="9473" width="65.75" style="4" customWidth="1"/>
    <col min="9474" max="9474" width="17.625" style="4" customWidth="1"/>
    <col min="9475" max="9475" width="17.25" style="4" customWidth="1"/>
    <col min="9476" max="9476" width="13.375" style="4" customWidth="1"/>
    <col min="9477" max="9477" width="14" style="4" customWidth="1"/>
    <col min="9478" max="9478" width="14.125" style="4" customWidth="1"/>
    <col min="9479" max="9479" width="11.125" style="4" customWidth="1"/>
    <col min="9480" max="9480" width="15.25" style="4" customWidth="1"/>
    <col min="9481" max="9481" width="12.75" style="4" bestFit="1" customWidth="1"/>
    <col min="9482" max="9482" width="11.875" style="4" customWidth="1"/>
    <col min="9483" max="9483" width="10.875" style="4" customWidth="1"/>
    <col min="9484" max="9484" width="8" style="4" customWidth="1"/>
    <col min="9485" max="9488" width="9.125" style="4"/>
    <col min="9489" max="9489" width="15.875" style="4" customWidth="1"/>
    <col min="9490" max="9490" width="13.75" style="4" customWidth="1"/>
    <col min="9491" max="9491" width="16.75" style="4" customWidth="1"/>
    <col min="9492" max="9727" width="9.125" style="4"/>
    <col min="9728" max="9728" width="4.625" style="4" customWidth="1"/>
    <col min="9729" max="9729" width="65.75" style="4" customWidth="1"/>
    <col min="9730" max="9730" width="17.625" style="4" customWidth="1"/>
    <col min="9731" max="9731" width="17.25" style="4" customWidth="1"/>
    <col min="9732" max="9732" width="13.375" style="4" customWidth="1"/>
    <col min="9733" max="9733" width="14" style="4" customWidth="1"/>
    <col min="9734" max="9734" width="14.125" style="4" customWidth="1"/>
    <col min="9735" max="9735" width="11.125" style="4" customWidth="1"/>
    <col min="9736" max="9736" width="15.25" style="4" customWidth="1"/>
    <col min="9737" max="9737" width="12.75" style="4" bestFit="1" customWidth="1"/>
    <col min="9738" max="9738" width="11.875" style="4" customWidth="1"/>
    <col min="9739" max="9739" width="10.875" style="4" customWidth="1"/>
    <col min="9740" max="9740" width="8" style="4" customWidth="1"/>
    <col min="9741" max="9744" width="9.125" style="4"/>
    <col min="9745" max="9745" width="15.875" style="4" customWidth="1"/>
    <col min="9746" max="9746" width="13.75" style="4" customWidth="1"/>
    <col min="9747" max="9747" width="16.75" style="4" customWidth="1"/>
    <col min="9748" max="9983" width="9.125" style="4"/>
    <col min="9984" max="9984" width="4.625" style="4" customWidth="1"/>
    <col min="9985" max="9985" width="65.75" style="4" customWidth="1"/>
    <col min="9986" max="9986" width="17.625" style="4" customWidth="1"/>
    <col min="9987" max="9987" width="17.25" style="4" customWidth="1"/>
    <col min="9988" max="9988" width="13.375" style="4" customWidth="1"/>
    <col min="9989" max="9989" width="14" style="4" customWidth="1"/>
    <col min="9990" max="9990" width="14.125" style="4" customWidth="1"/>
    <col min="9991" max="9991" width="11.125" style="4" customWidth="1"/>
    <col min="9992" max="9992" width="15.25" style="4" customWidth="1"/>
    <col min="9993" max="9993" width="12.75" style="4" bestFit="1" customWidth="1"/>
    <col min="9994" max="9994" width="11.875" style="4" customWidth="1"/>
    <col min="9995" max="9995" width="10.875" style="4" customWidth="1"/>
    <col min="9996" max="9996" width="8" style="4" customWidth="1"/>
    <col min="9997" max="10000" width="9.125" style="4"/>
    <col min="10001" max="10001" width="15.875" style="4" customWidth="1"/>
    <col min="10002" max="10002" width="13.75" style="4" customWidth="1"/>
    <col min="10003" max="10003" width="16.75" style="4" customWidth="1"/>
    <col min="10004" max="10239" width="9.125" style="4"/>
    <col min="10240" max="10240" width="4.625" style="4" customWidth="1"/>
    <col min="10241" max="10241" width="65.75" style="4" customWidth="1"/>
    <col min="10242" max="10242" width="17.625" style="4" customWidth="1"/>
    <col min="10243" max="10243" width="17.25" style="4" customWidth="1"/>
    <col min="10244" max="10244" width="13.375" style="4" customWidth="1"/>
    <col min="10245" max="10245" width="14" style="4" customWidth="1"/>
    <col min="10246" max="10246" width="14.125" style="4" customWidth="1"/>
    <col min="10247" max="10247" width="11.125" style="4" customWidth="1"/>
    <col min="10248" max="10248" width="15.25" style="4" customWidth="1"/>
    <col min="10249" max="10249" width="12.75" style="4" bestFit="1" customWidth="1"/>
    <col min="10250" max="10250" width="11.875" style="4" customWidth="1"/>
    <col min="10251" max="10251" width="10.875" style="4" customWidth="1"/>
    <col min="10252" max="10252" width="8" style="4" customWidth="1"/>
    <col min="10253" max="10256" width="9.125" style="4"/>
    <col min="10257" max="10257" width="15.875" style="4" customWidth="1"/>
    <col min="10258" max="10258" width="13.75" style="4" customWidth="1"/>
    <col min="10259" max="10259" width="16.75" style="4" customWidth="1"/>
    <col min="10260" max="10495" width="9.125" style="4"/>
    <col min="10496" max="10496" width="4.625" style="4" customWidth="1"/>
    <col min="10497" max="10497" width="65.75" style="4" customWidth="1"/>
    <col min="10498" max="10498" width="17.625" style="4" customWidth="1"/>
    <col min="10499" max="10499" width="17.25" style="4" customWidth="1"/>
    <col min="10500" max="10500" width="13.375" style="4" customWidth="1"/>
    <col min="10501" max="10501" width="14" style="4" customWidth="1"/>
    <col min="10502" max="10502" width="14.125" style="4" customWidth="1"/>
    <col min="10503" max="10503" width="11.125" style="4" customWidth="1"/>
    <col min="10504" max="10504" width="15.25" style="4" customWidth="1"/>
    <col min="10505" max="10505" width="12.75" style="4" bestFit="1" customWidth="1"/>
    <col min="10506" max="10506" width="11.875" style="4" customWidth="1"/>
    <col min="10507" max="10507" width="10.875" style="4" customWidth="1"/>
    <col min="10508" max="10508" width="8" style="4" customWidth="1"/>
    <col min="10509" max="10512" width="9.125" style="4"/>
    <col min="10513" max="10513" width="15.875" style="4" customWidth="1"/>
    <col min="10514" max="10514" width="13.75" style="4" customWidth="1"/>
    <col min="10515" max="10515" width="16.75" style="4" customWidth="1"/>
    <col min="10516" max="10751" width="9.125" style="4"/>
    <col min="10752" max="10752" width="4.625" style="4" customWidth="1"/>
    <col min="10753" max="10753" width="65.75" style="4" customWidth="1"/>
    <col min="10754" max="10754" width="17.625" style="4" customWidth="1"/>
    <col min="10755" max="10755" width="17.25" style="4" customWidth="1"/>
    <col min="10756" max="10756" width="13.375" style="4" customWidth="1"/>
    <col min="10757" max="10757" width="14" style="4" customWidth="1"/>
    <col min="10758" max="10758" width="14.125" style="4" customWidth="1"/>
    <col min="10759" max="10759" width="11.125" style="4" customWidth="1"/>
    <col min="10760" max="10760" width="15.25" style="4" customWidth="1"/>
    <col min="10761" max="10761" width="12.75" style="4" bestFit="1" customWidth="1"/>
    <col min="10762" max="10762" width="11.875" style="4" customWidth="1"/>
    <col min="10763" max="10763" width="10.875" style="4" customWidth="1"/>
    <col min="10764" max="10764" width="8" style="4" customWidth="1"/>
    <col min="10765" max="10768" width="9.125" style="4"/>
    <col min="10769" max="10769" width="15.875" style="4" customWidth="1"/>
    <col min="10770" max="10770" width="13.75" style="4" customWidth="1"/>
    <col min="10771" max="10771" width="16.75" style="4" customWidth="1"/>
    <col min="10772" max="11007" width="9.125" style="4"/>
    <col min="11008" max="11008" width="4.625" style="4" customWidth="1"/>
    <col min="11009" max="11009" width="65.75" style="4" customWidth="1"/>
    <col min="11010" max="11010" width="17.625" style="4" customWidth="1"/>
    <col min="11011" max="11011" width="17.25" style="4" customWidth="1"/>
    <col min="11012" max="11012" width="13.375" style="4" customWidth="1"/>
    <col min="11013" max="11013" width="14" style="4" customWidth="1"/>
    <col min="11014" max="11014" width="14.125" style="4" customWidth="1"/>
    <col min="11015" max="11015" width="11.125" style="4" customWidth="1"/>
    <col min="11016" max="11016" width="15.25" style="4" customWidth="1"/>
    <col min="11017" max="11017" width="12.75" style="4" bestFit="1" customWidth="1"/>
    <col min="11018" max="11018" width="11.875" style="4" customWidth="1"/>
    <col min="11019" max="11019" width="10.875" style="4" customWidth="1"/>
    <col min="11020" max="11020" width="8" style="4" customWidth="1"/>
    <col min="11021" max="11024" width="9.125" style="4"/>
    <col min="11025" max="11025" width="15.875" style="4" customWidth="1"/>
    <col min="11026" max="11026" width="13.75" style="4" customWidth="1"/>
    <col min="11027" max="11027" width="16.75" style="4" customWidth="1"/>
    <col min="11028" max="11263" width="9.125" style="4"/>
    <col min="11264" max="11264" width="4.625" style="4" customWidth="1"/>
    <col min="11265" max="11265" width="65.75" style="4" customWidth="1"/>
    <col min="11266" max="11266" width="17.625" style="4" customWidth="1"/>
    <col min="11267" max="11267" width="17.25" style="4" customWidth="1"/>
    <col min="11268" max="11268" width="13.375" style="4" customWidth="1"/>
    <col min="11269" max="11269" width="14" style="4" customWidth="1"/>
    <col min="11270" max="11270" width="14.125" style="4" customWidth="1"/>
    <col min="11271" max="11271" width="11.125" style="4" customWidth="1"/>
    <col min="11272" max="11272" width="15.25" style="4" customWidth="1"/>
    <col min="11273" max="11273" width="12.75" style="4" bestFit="1" customWidth="1"/>
    <col min="11274" max="11274" width="11.875" style="4" customWidth="1"/>
    <col min="11275" max="11275" width="10.875" style="4" customWidth="1"/>
    <col min="11276" max="11276" width="8" style="4" customWidth="1"/>
    <col min="11277" max="11280" width="9.125" style="4"/>
    <col min="11281" max="11281" width="15.875" style="4" customWidth="1"/>
    <col min="11282" max="11282" width="13.75" style="4" customWidth="1"/>
    <col min="11283" max="11283" width="16.75" style="4" customWidth="1"/>
    <col min="11284" max="11519" width="9.125" style="4"/>
    <col min="11520" max="11520" width="4.625" style="4" customWidth="1"/>
    <col min="11521" max="11521" width="65.75" style="4" customWidth="1"/>
    <col min="11522" max="11522" width="17.625" style="4" customWidth="1"/>
    <col min="11523" max="11523" width="17.25" style="4" customWidth="1"/>
    <col min="11524" max="11524" width="13.375" style="4" customWidth="1"/>
    <col min="11525" max="11525" width="14" style="4" customWidth="1"/>
    <col min="11526" max="11526" width="14.125" style="4" customWidth="1"/>
    <col min="11527" max="11527" width="11.125" style="4" customWidth="1"/>
    <col min="11528" max="11528" width="15.25" style="4" customWidth="1"/>
    <col min="11529" max="11529" width="12.75" style="4" bestFit="1" customWidth="1"/>
    <col min="11530" max="11530" width="11.875" style="4" customWidth="1"/>
    <col min="11531" max="11531" width="10.875" style="4" customWidth="1"/>
    <col min="11532" max="11532" width="8" style="4" customWidth="1"/>
    <col min="11533" max="11536" width="9.125" style="4"/>
    <col min="11537" max="11537" width="15.875" style="4" customWidth="1"/>
    <col min="11538" max="11538" width="13.75" style="4" customWidth="1"/>
    <col min="11539" max="11539" width="16.75" style="4" customWidth="1"/>
    <col min="11540" max="11775" width="9.125" style="4"/>
    <col min="11776" max="11776" width="4.625" style="4" customWidth="1"/>
    <col min="11777" max="11777" width="65.75" style="4" customWidth="1"/>
    <col min="11778" max="11778" width="17.625" style="4" customWidth="1"/>
    <col min="11779" max="11779" width="17.25" style="4" customWidth="1"/>
    <col min="11780" max="11780" width="13.375" style="4" customWidth="1"/>
    <col min="11781" max="11781" width="14" style="4" customWidth="1"/>
    <col min="11782" max="11782" width="14.125" style="4" customWidth="1"/>
    <col min="11783" max="11783" width="11.125" style="4" customWidth="1"/>
    <col min="11784" max="11784" width="15.25" style="4" customWidth="1"/>
    <col min="11785" max="11785" width="12.75" style="4" bestFit="1" customWidth="1"/>
    <col min="11786" max="11786" width="11.875" style="4" customWidth="1"/>
    <col min="11787" max="11787" width="10.875" style="4" customWidth="1"/>
    <col min="11788" max="11788" width="8" style="4" customWidth="1"/>
    <col min="11789" max="11792" width="9.125" style="4"/>
    <col min="11793" max="11793" width="15.875" style="4" customWidth="1"/>
    <col min="11794" max="11794" width="13.75" style="4" customWidth="1"/>
    <col min="11795" max="11795" width="16.75" style="4" customWidth="1"/>
    <col min="11796" max="12031" width="9.125" style="4"/>
    <col min="12032" max="12032" width="4.625" style="4" customWidth="1"/>
    <col min="12033" max="12033" width="65.75" style="4" customWidth="1"/>
    <col min="12034" max="12034" width="17.625" style="4" customWidth="1"/>
    <col min="12035" max="12035" width="17.25" style="4" customWidth="1"/>
    <col min="12036" max="12036" width="13.375" style="4" customWidth="1"/>
    <col min="12037" max="12037" width="14" style="4" customWidth="1"/>
    <col min="12038" max="12038" width="14.125" style="4" customWidth="1"/>
    <col min="12039" max="12039" width="11.125" style="4" customWidth="1"/>
    <col min="12040" max="12040" width="15.25" style="4" customWidth="1"/>
    <col min="12041" max="12041" width="12.75" style="4" bestFit="1" customWidth="1"/>
    <col min="12042" max="12042" width="11.875" style="4" customWidth="1"/>
    <col min="12043" max="12043" width="10.875" style="4" customWidth="1"/>
    <col min="12044" max="12044" width="8" style="4" customWidth="1"/>
    <col min="12045" max="12048" width="9.125" style="4"/>
    <col min="12049" max="12049" width="15.875" style="4" customWidth="1"/>
    <col min="12050" max="12050" width="13.75" style="4" customWidth="1"/>
    <col min="12051" max="12051" width="16.75" style="4" customWidth="1"/>
    <col min="12052" max="12287" width="9.125" style="4"/>
    <col min="12288" max="12288" width="4.625" style="4" customWidth="1"/>
    <col min="12289" max="12289" width="65.75" style="4" customWidth="1"/>
    <col min="12290" max="12290" width="17.625" style="4" customWidth="1"/>
    <col min="12291" max="12291" width="17.25" style="4" customWidth="1"/>
    <col min="12292" max="12292" width="13.375" style="4" customWidth="1"/>
    <col min="12293" max="12293" width="14" style="4" customWidth="1"/>
    <col min="12294" max="12294" width="14.125" style="4" customWidth="1"/>
    <col min="12295" max="12295" width="11.125" style="4" customWidth="1"/>
    <col min="12296" max="12296" width="15.25" style="4" customWidth="1"/>
    <col min="12297" max="12297" width="12.75" style="4" bestFit="1" customWidth="1"/>
    <col min="12298" max="12298" width="11.875" style="4" customWidth="1"/>
    <col min="12299" max="12299" width="10.875" style="4" customWidth="1"/>
    <col min="12300" max="12300" width="8" style="4" customWidth="1"/>
    <col min="12301" max="12304" width="9.125" style="4"/>
    <col min="12305" max="12305" width="15.875" style="4" customWidth="1"/>
    <col min="12306" max="12306" width="13.75" style="4" customWidth="1"/>
    <col min="12307" max="12307" width="16.75" style="4" customWidth="1"/>
    <col min="12308" max="12543" width="9.125" style="4"/>
    <col min="12544" max="12544" width="4.625" style="4" customWidth="1"/>
    <col min="12545" max="12545" width="65.75" style="4" customWidth="1"/>
    <col min="12546" max="12546" width="17.625" style="4" customWidth="1"/>
    <col min="12547" max="12547" width="17.25" style="4" customWidth="1"/>
    <col min="12548" max="12548" width="13.375" style="4" customWidth="1"/>
    <col min="12549" max="12549" width="14" style="4" customWidth="1"/>
    <col min="12550" max="12550" width="14.125" style="4" customWidth="1"/>
    <col min="12551" max="12551" width="11.125" style="4" customWidth="1"/>
    <col min="12552" max="12552" width="15.25" style="4" customWidth="1"/>
    <col min="12553" max="12553" width="12.75" style="4" bestFit="1" customWidth="1"/>
    <col min="12554" max="12554" width="11.875" style="4" customWidth="1"/>
    <col min="12555" max="12555" width="10.875" style="4" customWidth="1"/>
    <col min="12556" max="12556" width="8" style="4" customWidth="1"/>
    <col min="12557" max="12560" width="9.125" style="4"/>
    <col min="12561" max="12561" width="15.875" style="4" customWidth="1"/>
    <col min="12562" max="12562" width="13.75" style="4" customWidth="1"/>
    <col min="12563" max="12563" width="16.75" style="4" customWidth="1"/>
    <col min="12564" max="12799" width="9.125" style="4"/>
    <col min="12800" max="12800" width="4.625" style="4" customWidth="1"/>
    <col min="12801" max="12801" width="65.75" style="4" customWidth="1"/>
    <col min="12802" max="12802" width="17.625" style="4" customWidth="1"/>
    <col min="12803" max="12803" width="17.25" style="4" customWidth="1"/>
    <col min="12804" max="12804" width="13.375" style="4" customWidth="1"/>
    <col min="12805" max="12805" width="14" style="4" customWidth="1"/>
    <col min="12806" max="12806" width="14.125" style="4" customWidth="1"/>
    <col min="12807" max="12807" width="11.125" style="4" customWidth="1"/>
    <col min="12808" max="12808" width="15.25" style="4" customWidth="1"/>
    <col min="12809" max="12809" width="12.75" style="4" bestFit="1" customWidth="1"/>
    <col min="12810" max="12810" width="11.875" style="4" customWidth="1"/>
    <col min="12811" max="12811" width="10.875" style="4" customWidth="1"/>
    <col min="12812" max="12812" width="8" style="4" customWidth="1"/>
    <col min="12813" max="12816" width="9.125" style="4"/>
    <col min="12817" max="12817" width="15.875" style="4" customWidth="1"/>
    <col min="12818" max="12818" width="13.75" style="4" customWidth="1"/>
    <col min="12819" max="12819" width="16.75" style="4" customWidth="1"/>
    <col min="12820" max="13055" width="9.125" style="4"/>
    <col min="13056" max="13056" width="4.625" style="4" customWidth="1"/>
    <col min="13057" max="13057" width="65.75" style="4" customWidth="1"/>
    <col min="13058" max="13058" width="17.625" style="4" customWidth="1"/>
    <col min="13059" max="13059" width="17.25" style="4" customWidth="1"/>
    <col min="13060" max="13060" width="13.375" style="4" customWidth="1"/>
    <col min="13061" max="13061" width="14" style="4" customWidth="1"/>
    <col min="13062" max="13062" width="14.125" style="4" customWidth="1"/>
    <col min="13063" max="13063" width="11.125" style="4" customWidth="1"/>
    <col min="13064" max="13064" width="15.25" style="4" customWidth="1"/>
    <col min="13065" max="13065" width="12.75" style="4" bestFit="1" customWidth="1"/>
    <col min="13066" max="13066" width="11.875" style="4" customWidth="1"/>
    <col min="13067" max="13067" width="10.875" style="4" customWidth="1"/>
    <col min="13068" max="13068" width="8" style="4" customWidth="1"/>
    <col min="13069" max="13072" width="9.125" style="4"/>
    <col min="13073" max="13073" width="15.875" style="4" customWidth="1"/>
    <col min="13074" max="13074" width="13.75" style="4" customWidth="1"/>
    <col min="13075" max="13075" width="16.75" style="4" customWidth="1"/>
    <col min="13076" max="13311" width="9.125" style="4"/>
    <col min="13312" max="13312" width="4.625" style="4" customWidth="1"/>
    <col min="13313" max="13313" width="65.75" style="4" customWidth="1"/>
    <col min="13314" max="13314" width="17.625" style="4" customWidth="1"/>
    <col min="13315" max="13315" width="17.25" style="4" customWidth="1"/>
    <col min="13316" max="13316" width="13.375" style="4" customWidth="1"/>
    <col min="13317" max="13317" width="14" style="4" customWidth="1"/>
    <col min="13318" max="13318" width="14.125" style="4" customWidth="1"/>
    <col min="13319" max="13319" width="11.125" style="4" customWidth="1"/>
    <col min="13320" max="13320" width="15.25" style="4" customWidth="1"/>
    <col min="13321" max="13321" width="12.75" style="4" bestFit="1" customWidth="1"/>
    <col min="13322" max="13322" width="11.875" style="4" customWidth="1"/>
    <col min="13323" max="13323" width="10.875" style="4" customWidth="1"/>
    <col min="13324" max="13324" width="8" style="4" customWidth="1"/>
    <col min="13325" max="13328" width="9.125" style="4"/>
    <col min="13329" max="13329" width="15.875" style="4" customWidth="1"/>
    <col min="13330" max="13330" width="13.75" style="4" customWidth="1"/>
    <col min="13331" max="13331" width="16.75" style="4" customWidth="1"/>
    <col min="13332" max="13567" width="9.125" style="4"/>
    <col min="13568" max="13568" width="4.625" style="4" customWidth="1"/>
    <col min="13569" max="13569" width="65.75" style="4" customWidth="1"/>
    <col min="13570" max="13570" width="17.625" style="4" customWidth="1"/>
    <col min="13571" max="13571" width="17.25" style="4" customWidth="1"/>
    <col min="13572" max="13572" width="13.375" style="4" customWidth="1"/>
    <col min="13573" max="13573" width="14" style="4" customWidth="1"/>
    <col min="13574" max="13574" width="14.125" style="4" customWidth="1"/>
    <col min="13575" max="13575" width="11.125" style="4" customWidth="1"/>
    <col min="13576" max="13576" width="15.25" style="4" customWidth="1"/>
    <col min="13577" max="13577" width="12.75" style="4" bestFit="1" customWidth="1"/>
    <col min="13578" max="13578" width="11.875" style="4" customWidth="1"/>
    <col min="13579" max="13579" width="10.875" style="4" customWidth="1"/>
    <col min="13580" max="13580" width="8" style="4" customWidth="1"/>
    <col min="13581" max="13584" width="9.125" style="4"/>
    <col min="13585" max="13585" width="15.875" style="4" customWidth="1"/>
    <col min="13586" max="13586" width="13.75" style="4" customWidth="1"/>
    <col min="13587" max="13587" width="16.75" style="4" customWidth="1"/>
    <col min="13588" max="13823" width="9.125" style="4"/>
    <col min="13824" max="13824" width="4.625" style="4" customWidth="1"/>
    <col min="13825" max="13825" width="65.75" style="4" customWidth="1"/>
    <col min="13826" max="13826" width="17.625" style="4" customWidth="1"/>
    <col min="13827" max="13827" width="17.25" style="4" customWidth="1"/>
    <col min="13828" max="13828" width="13.375" style="4" customWidth="1"/>
    <col min="13829" max="13829" width="14" style="4" customWidth="1"/>
    <col min="13830" max="13830" width="14.125" style="4" customWidth="1"/>
    <col min="13831" max="13831" width="11.125" style="4" customWidth="1"/>
    <col min="13832" max="13832" width="15.25" style="4" customWidth="1"/>
    <col min="13833" max="13833" width="12.75" style="4" bestFit="1" customWidth="1"/>
    <col min="13834" max="13834" width="11.875" style="4" customWidth="1"/>
    <col min="13835" max="13835" width="10.875" style="4" customWidth="1"/>
    <col min="13836" max="13836" width="8" style="4" customWidth="1"/>
    <col min="13837" max="13840" width="9.125" style="4"/>
    <col min="13841" max="13841" width="15.875" style="4" customWidth="1"/>
    <col min="13842" max="13842" width="13.75" style="4" customWidth="1"/>
    <col min="13843" max="13843" width="16.75" style="4" customWidth="1"/>
    <col min="13844" max="14079" width="9.125" style="4"/>
    <col min="14080" max="14080" width="4.625" style="4" customWidth="1"/>
    <col min="14081" max="14081" width="65.75" style="4" customWidth="1"/>
    <col min="14082" max="14082" width="17.625" style="4" customWidth="1"/>
    <col min="14083" max="14083" width="17.25" style="4" customWidth="1"/>
    <col min="14084" max="14084" width="13.375" style="4" customWidth="1"/>
    <col min="14085" max="14085" width="14" style="4" customWidth="1"/>
    <col min="14086" max="14086" width="14.125" style="4" customWidth="1"/>
    <col min="14087" max="14087" width="11.125" style="4" customWidth="1"/>
    <col min="14088" max="14088" width="15.25" style="4" customWidth="1"/>
    <col min="14089" max="14089" width="12.75" style="4" bestFit="1" customWidth="1"/>
    <col min="14090" max="14090" width="11.875" style="4" customWidth="1"/>
    <col min="14091" max="14091" width="10.875" style="4" customWidth="1"/>
    <col min="14092" max="14092" width="8" style="4" customWidth="1"/>
    <col min="14093" max="14096" width="9.125" style="4"/>
    <col min="14097" max="14097" width="15.875" style="4" customWidth="1"/>
    <col min="14098" max="14098" width="13.75" style="4" customWidth="1"/>
    <col min="14099" max="14099" width="16.75" style="4" customWidth="1"/>
    <col min="14100" max="14335" width="9.125" style="4"/>
    <col min="14336" max="14336" width="4.625" style="4" customWidth="1"/>
    <col min="14337" max="14337" width="65.75" style="4" customWidth="1"/>
    <col min="14338" max="14338" width="17.625" style="4" customWidth="1"/>
    <col min="14339" max="14339" width="17.25" style="4" customWidth="1"/>
    <col min="14340" max="14340" width="13.375" style="4" customWidth="1"/>
    <col min="14341" max="14341" width="14" style="4" customWidth="1"/>
    <col min="14342" max="14342" width="14.125" style="4" customWidth="1"/>
    <col min="14343" max="14343" width="11.125" style="4" customWidth="1"/>
    <col min="14344" max="14344" width="15.25" style="4" customWidth="1"/>
    <col min="14345" max="14345" width="12.75" style="4" bestFit="1" customWidth="1"/>
    <col min="14346" max="14346" width="11.875" style="4" customWidth="1"/>
    <col min="14347" max="14347" width="10.875" style="4" customWidth="1"/>
    <col min="14348" max="14348" width="8" style="4" customWidth="1"/>
    <col min="14349" max="14352" width="9.125" style="4"/>
    <col min="14353" max="14353" width="15.875" style="4" customWidth="1"/>
    <col min="14354" max="14354" width="13.75" style="4" customWidth="1"/>
    <col min="14355" max="14355" width="16.75" style="4" customWidth="1"/>
    <col min="14356" max="14591" width="9.125" style="4"/>
    <col min="14592" max="14592" width="4.625" style="4" customWidth="1"/>
    <col min="14593" max="14593" width="65.75" style="4" customWidth="1"/>
    <col min="14594" max="14594" width="17.625" style="4" customWidth="1"/>
    <col min="14595" max="14595" width="17.25" style="4" customWidth="1"/>
    <col min="14596" max="14596" width="13.375" style="4" customWidth="1"/>
    <col min="14597" max="14597" width="14" style="4" customWidth="1"/>
    <col min="14598" max="14598" width="14.125" style="4" customWidth="1"/>
    <col min="14599" max="14599" width="11.125" style="4" customWidth="1"/>
    <col min="14600" max="14600" width="15.25" style="4" customWidth="1"/>
    <col min="14601" max="14601" width="12.75" style="4" bestFit="1" customWidth="1"/>
    <col min="14602" max="14602" width="11.875" style="4" customWidth="1"/>
    <col min="14603" max="14603" width="10.875" style="4" customWidth="1"/>
    <col min="14604" max="14604" width="8" style="4" customWidth="1"/>
    <col min="14605" max="14608" width="9.125" style="4"/>
    <col min="14609" max="14609" width="15.875" style="4" customWidth="1"/>
    <col min="14610" max="14610" width="13.75" style="4" customWidth="1"/>
    <col min="14611" max="14611" width="16.75" style="4" customWidth="1"/>
    <col min="14612" max="14847" width="9.125" style="4"/>
    <col min="14848" max="14848" width="4.625" style="4" customWidth="1"/>
    <col min="14849" max="14849" width="65.75" style="4" customWidth="1"/>
    <col min="14850" max="14850" width="17.625" style="4" customWidth="1"/>
    <col min="14851" max="14851" width="17.25" style="4" customWidth="1"/>
    <col min="14852" max="14852" width="13.375" style="4" customWidth="1"/>
    <col min="14853" max="14853" width="14" style="4" customWidth="1"/>
    <col min="14854" max="14854" width="14.125" style="4" customWidth="1"/>
    <col min="14855" max="14855" width="11.125" style="4" customWidth="1"/>
    <col min="14856" max="14856" width="15.25" style="4" customWidth="1"/>
    <col min="14857" max="14857" width="12.75" style="4" bestFit="1" customWidth="1"/>
    <col min="14858" max="14858" width="11.875" style="4" customWidth="1"/>
    <col min="14859" max="14859" width="10.875" style="4" customWidth="1"/>
    <col min="14860" max="14860" width="8" style="4" customWidth="1"/>
    <col min="14861" max="14864" width="9.125" style="4"/>
    <col min="14865" max="14865" width="15.875" style="4" customWidth="1"/>
    <col min="14866" max="14866" width="13.75" style="4" customWidth="1"/>
    <col min="14867" max="14867" width="16.75" style="4" customWidth="1"/>
    <col min="14868" max="15103" width="9.125" style="4"/>
    <col min="15104" max="15104" width="4.625" style="4" customWidth="1"/>
    <col min="15105" max="15105" width="65.75" style="4" customWidth="1"/>
    <col min="15106" max="15106" width="17.625" style="4" customWidth="1"/>
    <col min="15107" max="15107" width="17.25" style="4" customWidth="1"/>
    <col min="15108" max="15108" width="13.375" style="4" customWidth="1"/>
    <col min="15109" max="15109" width="14" style="4" customWidth="1"/>
    <col min="15110" max="15110" width="14.125" style="4" customWidth="1"/>
    <col min="15111" max="15111" width="11.125" style="4" customWidth="1"/>
    <col min="15112" max="15112" width="15.25" style="4" customWidth="1"/>
    <col min="15113" max="15113" width="12.75" style="4" bestFit="1" customWidth="1"/>
    <col min="15114" max="15114" width="11.875" style="4" customWidth="1"/>
    <col min="15115" max="15115" width="10.875" style="4" customWidth="1"/>
    <col min="15116" max="15116" width="8" style="4" customWidth="1"/>
    <col min="15117" max="15120" width="9.125" style="4"/>
    <col min="15121" max="15121" width="15.875" style="4" customWidth="1"/>
    <col min="15122" max="15122" width="13.75" style="4" customWidth="1"/>
    <col min="15123" max="15123" width="16.75" style="4" customWidth="1"/>
    <col min="15124" max="15359" width="9.125" style="4"/>
    <col min="15360" max="15360" width="4.625" style="4" customWidth="1"/>
    <col min="15361" max="15361" width="65.75" style="4" customWidth="1"/>
    <col min="15362" max="15362" width="17.625" style="4" customWidth="1"/>
    <col min="15363" max="15363" width="17.25" style="4" customWidth="1"/>
    <col min="15364" max="15364" width="13.375" style="4" customWidth="1"/>
    <col min="15365" max="15365" width="14" style="4" customWidth="1"/>
    <col min="15366" max="15366" width="14.125" style="4" customWidth="1"/>
    <col min="15367" max="15367" width="11.125" style="4" customWidth="1"/>
    <col min="15368" max="15368" width="15.25" style="4" customWidth="1"/>
    <col min="15369" max="15369" width="12.75" style="4" bestFit="1" customWidth="1"/>
    <col min="15370" max="15370" width="11.875" style="4" customWidth="1"/>
    <col min="15371" max="15371" width="10.875" style="4" customWidth="1"/>
    <col min="15372" max="15372" width="8" style="4" customWidth="1"/>
    <col min="15373" max="15376" width="9.125" style="4"/>
    <col min="15377" max="15377" width="15.875" style="4" customWidth="1"/>
    <col min="15378" max="15378" width="13.75" style="4" customWidth="1"/>
    <col min="15379" max="15379" width="16.75" style="4" customWidth="1"/>
    <col min="15380" max="15615" width="9.125" style="4"/>
    <col min="15616" max="15616" width="4.625" style="4" customWidth="1"/>
    <col min="15617" max="15617" width="65.75" style="4" customWidth="1"/>
    <col min="15618" max="15618" width="17.625" style="4" customWidth="1"/>
    <col min="15619" max="15619" width="17.25" style="4" customWidth="1"/>
    <col min="15620" max="15620" width="13.375" style="4" customWidth="1"/>
    <col min="15621" max="15621" width="14" style="4" customWidth="1"/>
    <col min="15622" max="15622" width="14.125" style="4" customWidth="1"/>
    <col min="15623" max="15623" width="11.125" style="4" customWidth="1"/>
    <col min="15624" max="15624" width="15.25" style="4" customWidth="1"/>
    <col min="15625" max="15625" width="12.75" style="4" bestFit="1" customWidth="1"/>
    <col min="15626" max="15626" width="11.875" style="4" customWidth="1"/>
    <col min="15627" max="15627" width="10.875" style="4" customWidth="1"/>
    <col min="15628" max="15628" width="8" style="4" customWidth="1"/>
    <col min="15629" max="15632" width="9.125" style="4"/>
    <col min="15633" max="15633" width="15.875" style="4" customWidth="1"/>
    <col min="15634" max="15634" width="13.75" style="4" customWidth="1"/>
    <col min="15635" max="15635" width="16.75" style="4" customWidth="1"/>
    <col min="15636" max="15871" width="9.125" style="4"/>
    <col min="15872" max="15872" width="4.625" style="4" customWidth="1"/>
    <col min="15873" max="15873" width="65.75" style="4" customWidth="1"/>
    <col min="15874" max="15874" width="17.625" style="4" customWidth="1"/>
    <col min="15875" max="15875" width="17.25" style="4" customWidth="1"/>
    <col min="15876" max="15876" width="13.375" style="4" customWidth="1"/>
    <col min="15877" max="15877" width="14" style="4" customWidth="1"/>
    <col min="15878" max="15878" width="14.125" style="4" customWidth="1"/>
    <col min="15879" max="15879" width="11.125" style="4" customWidth="1"/>
    <col min="15880" max="15880" width="15.25" style="4" customWidth="1"/>
    <col min="15881" max="15881" width="12.75" style="4" bestFit="1" customWidth="1"/>
    <col min="15882" max="15882" width="11.875" style="4" customWidth="1"/>
    <col min="15883" max="15883" width="10.875" style="4" customWidth="1"/>
    <col min="15884" max="15884" width="8" style="4" customWidth="1"/>
    <col min="15885" max="15888" width="9.125" style="4"/>
    <col min="15889" max="15889" width="15.875" style="4" customWidth="1"/>
    <col min="15890" max="15890" width="13.75" style="4" customWidth="1"/>
    <col min="15891" max="15891" width="16.75" style="4" customWidth="1"/>
    <col min="15892" max="16127" width="9.125" style="4"/>
    <col min="16128" max="16128" width="4.625" style="4" customWidth="1"/>
    <col min="16129" max="16129" width="65.75" style="4" customWidth="1"/>
    <col min="16130" max="16130" width="17.625" style="4" customWidth="1"/>
    <col min="16131" max="16131" width="17.25" style="4" customWidth="1"/>
    <col min="16132" max="16132" width="13.375" style="4" customWidth="1"/>
    <col min="16133" max="16133" width="14" style="4" customWidth="1"/>
    <col min="16134" max="16134" width="14.125" style="4" customWidth="1"/>
    <col min="16135" max="16135" width="11.125" style="4" customWidth="1"/>
    <col min="16136" max="16136" width="15.25" style="4" customWidth="1"/>
    <col min="16137" max="16137" width="12.75" style="4" bestFit="1" customWidth="1"/>
    <col min="16138" max="16138" width="11.875" style="4" customWidth="1"/>
    <col min="16139" max="16139" width="10.875" style="4" customWidth="1"/>
    <col min="16140" max="16140" width="8" style="4" customWidth="1"/>
    <col min="16141" max="16144" width="9.125" style="4"/>
    <col min="16145" max="16145" width="15.875" style="4" customWidth="1"/>
    <col min="16146" max="16146" width="13.75" style="4" customWidth="1"/>
    <col min="16147" max="16147" width="16.75" style="4" customWidth="1"/>
    <col min="16148" max="16384" width="9.125" style="4"/>
  </cols>
  <sheetData>
    <row r="1" spans="1:15" s="2" customFormat="1">
      <c r="B1" s="991" t="s">
        <v>80</v>
      </c>
      <c r="C1" s="991"/>
      <c r="D1" s="991"/>
      <c r="E1" s="991"/>
      <c r="F1" s="991"/>
      <c r="G1" s="991"/>
      <c r="H1" s="583"/>
      <c r="I1" s="560"/>
      <c r="J1" s="1"/>
      <c r="K1" s="1"/>
    </row>
    <row r="2" spans="1:15">
      <c r="B2" s="992" t="s">
        <v>1568</v>
      </c>
      <c r="C2" s="992"/>
      <c r="D2" s="992"/>
      <c r="E2" s="992"/>
      <c r="F2" s="992"/>
      <c r="G2" s="992"/>
      <c r="H2" s="581"/>
      <c r="I2" s="559"/>
    </row>
    <row r="3" spans="1:15" s="2" customFormat="1" ht="33" customHeight="1">
      <c r="B3" s="5" t="s">
        <v>59</v>
      </c>
      <c r="C3" s="6" t="s">
        <v>2</v>
      </c>
      <c r="D3" s="7" t="s">
        <v>60</v>
      </c>
      <c r="E3" s="7" t="s">
        <v>79</v>
      </c>
      <c r="F3" s="7" t="s">
        <v>63</v>
      </c>
      <c r="G3" s="7" t="s">
        <v>65</v>
      </c>
      <c r="H3" s="7" t="s">
        <v>1385</v>
      </c>
      <c r="I3" s="7" t="s">
        <v>1207</v>
      </c>
      <c r="J3" s="1"/>
    </row>
    <row r="4" spans="1:15" s="2" customFormat="1">
      <c r="A4" s="2">
        <v>1</v>
      </c>
      <c r="B4" s="17" t="s">
        <v>260</v>
      </c>
      <c r="C4" s="10" t="s">
        <v>246</v>
      </c>
      <c r="D4" s="107">
        <f>งบประมาณกิจกรรม!D16</f>
        <v>4915046</v>
      </c>
      <c r="E4" s="107">
        <f>งบประมาณกิจกรรม!E16</f>
        <v>4913014.93</v>
      </c>
      <c r="F4" s="14">
        <f>D4-E4</f>
        <v>2031.070000000298</v>
      </c>
      <c r="G4" s="14">
        <f>E4*100/D4</f>
        <v>99.958676480342191</v>
      </c>
      <c r="H4" s="548" t="s">
        <v>1253</v>
      </c>
      <c r="I4" s="20"/>
      <c r="J4" s="958">
        <v>4913014.93</v>
      </c>
      <c r="K4" s="382">
        <f>E4-J4</f>
        <v>0</v>
      </c>
      <c r="L4" s="959">
        <v>4915046</v>
      </c>
      <c r="M4" s="382">
        <f>D4-L4</f>
        <v>0</v>
      </c>
      <c r="N4" s="384"/>
    </row>
    <row r="5" spans="1:15" s="2" customFormat="1">
      <c r="A5" s="2">
        <v>2</v>
      </c>
      <c r="B5" s="960" t="s">
        <v>152</v>
      </c>
      <c r="C5" s="10" t="s">
        <v>142</v>
      </c>
      <c r="D5" s="107">
        <f>งบประมาณกิจกรรม!D100</f>
        <v>55591474.490000002</v>
      </c>
      <c r="E5" s="961">
        <f>งบประมาณกิจกรรม!E100</f>
        <v>55496528.490000002</v>
      </c>
      <c r="F5" s="11">
        <f t="shared" ref="F5:F13" si="0">D5-E5</f>
        <v>94946</v>
      </c>
      <c r="G5" s="11">
        <f>E5*100/D5</f>
        <v>99.82920762424267</v>
      </c>
      <c r="H5" s="548" t="s">
        <v>1386</v>
      </c>
      <c r="I5" s="962"/>
      <c r="J5" s="958">
        <v>55496528.490000002</v>
      </c>
      <c r="K5" s="382">
        <f t="shared" ref="K5:K13" si="1">E5-J5</f>
        <v>0</v>
      </c>
      <c r="L5" s="885">
        <v>55591474.490000002</v>
      </c>
      <c r="M5" s="382">
        <f t="shared" ref="M5:M13" si="2">D5-L5</f>
        <v>0</v>
      </c>
      <c r="N5" s="384"/>
      <c r="O5" s="4"/>
    </row>
    <row r="6" spans="1:15" s="2" customFormat="1">
      <c r="A6" s="2">
        <v>3</v>
      </c>
      <c r="B6" s="17" t="s">
        <v>150</v>
      </c>
      <c r="C6" s="10" t="s">
        <v>141</v>
      </c>
      <c r="D6" s="11">
        <f>งบประมาณกิจกรรม!D70</f>
        <v>306224</v>
      </c>
      <c r="E6" s="13">
        <f>งบประมาณกิจกรรม!E70</f>
        <v>306224</v>
      </c>
      <c r="F6" s="966">
        <f t="shared" si="0"/>
        <v>0</v>
      </c>
      <c r="G6" s="14">
        <f t="shared" ref="G6:G11" si="3">E6*100/D6</f>
        <v>100</v>
      </c>
      <c r="H6" s="548" t="s">
        <v>1390</v>
      </c>
      <c r="I6" s="967"/>
      <c r="J6" s="958">
        <v>306224</v>
      </c>
      <c r="K6" s="382">
        <f t="shared" si="1"/>
        <v>0</v>
      </c>
      <c r="L6" s="959">
        <v>306224</v>
      </c>
      <c r="M6" s="382">
        <f t="shared" si="2"/>
        <v>0</v>
      </c>
      <c r="N6" s="384"/>
      <c r="O6" s="4"/>
    </row>
    <row r="7" spans="1:15" s="2" customFormat="1">
      <c r="A7" s="2">
        <v>4</v>
      </c>
      <c r="B7" s="9" t="s">
        <v>126</v>
      </c>
      <c r="C7" s="10" t="s">
        <v>138</v>
      </c>
      <c r="D7" s="11">
        <f>งบประมาณกิจกรรม!D28</f>
        <v>2353012.48</v>
      </c>
      <c r="E7" s="12">
        <f>งบประมาณกิจกรรม!E28</f>
        <v>2353012.48</v>
      </c>
      <c r="F7" s="966">
        <f>D7-E7</f>
        <v>0</v>
      </c>
      <c r="G7" s="14">
        <f t="shared" si="3"/>
        <v>100</v>
      </c>
      <c r="H7" s="548" t="s">
        <v>213</v>
      </c>
      <c r="I7" s="967"/>
      <c r="J7" s="958">
        <v>2353012.48</v>
      </c>
      <c r="K7" s="382">
        <f>E7-J7</f>
        <v>0</v>
      </c>
      <c r="L7" s="959">
        <v>2353012.48</v>
      </c>
      <c r="M7" s="382">
        <f t="shared" si="2"/>
        <v>0</v>
      </c>
      <c r="N7" s="384"/>
    </row>
    <row r="8" spans="1:15" s="2" customFormat="1">
      <c r="A8" s="2">
        <v>5</v>
      </c>
      <c r="B8" s="9" t="s">
        <v>252</v>
      </c>
      <c r="C8" s="10" t="s">
        <v>247</v>
      </c>
      <c r="D8" s="11">
        <f>งบประมาณกิจกรรม!D34</f>
        <v>70000</v>
      </c>
      <c r="E8" s="11">
        <f>งบประมาณกิจกรรม!E34</f>
        <v>70000</v>
      </c>
      <c r="F8" s="966">
        <f t="shared" si="0"/>
        <v>0</v>
      </c>
      <c r="G8" s="14">
        <f>E8*100/D8</f>
        <v>100</v>
      </c>
      <c r="H8" s="67" t="s">
        <v>213</v>
      </c>
      <c r="I8" s="967"/>
      <c r="J8" s="958">
        <v>70000</v>
      </c>
      <c r="K8" s="382">
        <f t="shared" si="1"/>
        <v>0</v>
      </c>
      <c r="L8" s="959">
        <v>70000</v>
      </c>
      <c r="M8" s="382">
        <f t="shared" si="2"/>
        <v>0</v>
      </c>
      <c r="N8" s="384"/>
    </row>
    <row r="9" spans="1:15" s="2" customFormat="1">
      <c r="A9" s="2">
        <v>6</v>
      </c>
      <c r="B9" s="9" t="s">
        <v>266</v>
      </c>
      <c r="C9" s="10" t="s">
        <v>249</v>
      </c>
      <c r="D9" s="11">
        <f>งบประมาณกิจกรรม!D41</f>
        <v>157600</v>
      </c>
      <c r="E9" s="11">
        <f>งบประมาณกิจกรรม!E41</f>
        <v>157600</v>
      </c>
      <c r="F9" s="966">
        <f>D9-E9</f>
        <v>0</v>
      </c>
      <c r="G9" s="14">
        <f>E9*100/D9</f>
        <v>100</v>
      </c>
      <c r="H9" s="548" t="s">
        <v>1525</v>
      </c>
      <c r="I9" s="967"/>
      <c r="J9" s="958">
        <v>157600</v>
      </c>
      <c r="K9" s="382">
        <f t="shared" si="1"/>
        <v>0</v>
      </c>
      <c r="L9" s="959">
        <v>157600</v>
      </c>
      <c r="M9" s="382">
        <f t="shared" si="2"/>
        <v>0</v>
      </c>
      <c r="N9" s="384"/>
    </row>
    <row r="10" spans="1:15" s="2" customFormat="1">
      <c r="A10" s="2">
        <v>7</v>
      </c>
      <c r="B10" s="17" t="s">
        <v>179</v>
      </c>
      <c r="C10" s="10" t="s">
        <v>176</v>
      </c>
      <c r="D10" s="107">
        <f>งบประมาณกิจกรรม!D108</f>
        <v>1800887.6</v>
      </c>
      <c r="E10" s="108">
        <f>งบประมาณกิจกรรม!E108</f>
        <v>1800887.6</v>
      </c>
      <c r="F10" s="966">
        <f t="shared" si="0"/>
        <v>0</v>
      </c>
      <c r="G10" s="14">
        <f>E10*100/D10</f>
        <v>100</v>
      </c>
      <c r="H10" s="548" t="s">
        <v>1389</v>
      </c>
      <c r="I10" s="967"/>
      <c r="J10" s="958">
        <v>1800887.6</v>
      </c>
      <c r="K10" s="382">
        <f t="shared" si="1"/>
        <v>0</v>
      </c>
      <c r="L10" s="959">
        <v>1800887.6</v>
      </c>
      <c r="M10" s="382">
        <f t="shared" si="2"/>
        <v>0</v>
      </c>
      <c r="N10" s="384"/>
      <c r="O10" s="4"/>
    </row>
    <row r="11" spans="1:15" s="2" customFormat="1">
      <c r="A11" s="2">
        <v>8</v>
      </c>
      <c r="B11" s="960" t="s">
        <v>140</v>
      </c>
      <c r="C11" s="10" t="s">
        <v>134</v>
      </c>
      <c r="D11" s="168">
        <f>งบประมาณกิจกรรม!D56</f>
        <v>605128.12</v>
      </c>
      <c r="E11" s="168">
        <f>งบประมาณกิจกรรม!E56</f>
        <v>605128.12</v>
      </c>
      <c r="F11" s="969">
        <f t="shared" si="0"/>
        <v>0</v>
      </c>
      <c r="G11" s="11">
        <f t="shared" si="3"/>
        <v>100</v>
      </c>
      <c r="H11" s="548" t="s">
        <v>1391</v>
      </c>
      <c r="I11" s="968"/>
      <c r="J11" s="958">
        <v>605128.12</v>
      </c>
      <c r="K11" s="382">
        <f t="shared" si="1"/>
        <v>0</v>
      </c>
      <c r="L11" s="959">
        <v>605128.12</v>
      </c>
      <c r="M11" s="382">
        <f t="shared" si="2"/>
        <v>0</v>
      </c>
      <c r="N11" s="384"/>
    </row>
    <row r="12" spans="1:15" s="2" customFormat="1">
      <c r="A12" s="2">
        <v>9</v>
      </c>
      <c r="B12" s="17" t="s">
        <v>269</v>
      </c>
      <c r="C12" s="10" t="s">
        <v>250</v>
      </c>
      <c r="D12" s="107">
        <f>งบประมาณกิจกรรม!D115</f>
        <v>188294</v>
      </c>
      <c r="E12" s="108">
        <f>งบประมาณกิจกรรม!E115</f>
        <v>188294</v>
      </c>
      <c r="F12" s="966">
        <f t="shared" si="0"/>
        <v>0</v>
      </c>
      <c r="G12" s="14">
        <f>E12*100/D12</f>
        <v>100</v>
      </c>
      <c r="H12" s="548" t="s">
        <v>1388</v>
      </c>
      <c r="I12" s="20"/>
      <c r="J12" s="958">
        <v>188294</v>
      </c>
      <c r="K12" s="382">
        <f t="shared" si="1"/>
        <v>0</v>
      </c>
      <c r="L12" s="959">
        <v>188294</v>
      </c>
      <c r="M12" s="382">
        <f t="shared" si="2"/>
        <v>0</v>
      </c>
      <c r="N12" s="384"/>
      <c r="O12" s="4"/>
    </row>
    <row r="13" spans="1:15" s="2" customFormat="1">
      <c r="A13" s="2">
        <v>10</v>
      </c>
      <c r="B13" s="17" t="s">
        <v>272</v>
      </c>
      <c r="C13" s="10" t="s">
        <v>251</v>
      </c>
      <c r="D13" s="107">
        <f>งบประมาณกิจกรรม!D122</f>
        <v>272827.5</v>
      </c>
      <c r="E13" s="108">
        <f>งบประมาณกิจกรรม!E122</f>
        <v>272827.5</v>
      </c>
      <c r="F13" s="14">
        <f t="shared" si="0"/>
        <v>0</v>
      </c>
      <c r="G13" s="14">
        <f>E13*100/D13</f>
        <v>100</v>
      </c>
      <c r="H13" s="548" t="s">
        <v>1387</v>
      </c>
      <c r="I13" s="20"/>
      <c r="J13" s="958">
        <v>272827.5</v>
      </c>
      <c r="K13" s="382">
        <f t="shared" si="1"/>
        <v>0</v>
      </c>
      <c r="L13" s="959">
        <v>272827.5</v>
      </c>
      <c r="M13" s="382">
        <f t="shared" si="2"/>
        <v>0</v>
      </c>
      <c r="N13" s="384"/>
      <c r="O13" s="4"/>
    </row>
    <row r="14" spans="1:15" ht="21.75" thickBot="1">
      <c r="B14" s="993" t="s">
        <v>66</v>
      </c>
      <c r="C14" s="994"/>
      <c r="D14" s="23">
        <f>SUM(D4:D13)</f>
        <v>66260494.189999998</v>
      </c>
      <c r="E14" s="23">
        <f>SUM(E4:E13)</f>
        <v>66163517.119999997</v>
      </c>
      <c r="F14" s="23">
        <f>SUM(F4:F13)</f>
        <v>96977.070000000298</v>
      </c>
      <c r="G14" s="24">
        <f>E14*100/D14</f>
        <v>99.853642700397131</v>
      </c>
      <c r="H14" s="7"/>
      <c r="I14" s="469"/>
      <c r="J14" s="3">
        <f>SUM(J4:J13)</f>
        <v>66163517.119999997</v>
      </c>
      <c r="K14" s="3">
        <f>SUM(K4:K13)</f>
        <v>0</v>
      </c>
      <c r="L14" s="383">
        <f>J14*100/D14</f>
        <v>99.853642700397131</v>
      </c>
      <c r="M14" s="382"/>
      <c r="N14" s="384"/>
    </row>
    <row r="15" spans="1:15" s="30" customFormat="1" ht="21.75" thickTop="1">
      <c r="B15" s="26"/>
      <c r="C15" s="27"/>
      <c r="D15" s="573"/>
      <c r="E15" s="574"/>
      <c r="F15" s="28"/>
      <c r="G15" s="28"/>
      <c r="H15" s="44"/>
      <c r="I15" s="28"/>
      <c r="J15" s="25"/>
    </row>
    <row r="16" spans="1:15" s="30" customFormat="1">
      <c r="B16" s="26"/>
      <c r="C16" s="27"/>
      <c r="D16" s="573"/>
      <c r="E16" s="573"/>
      <c r="F16" s="28"/>
      <c r="G16" s="28"/>
      <c r="H16" s="44"/>
      <c r="I16" s="28"/>
      <c r="J16" s="29"/>
    </row>
    <row r="17" spans="2:15" s="2" customFormat="1">
      <c r="B17" s="991" t="s">
        <v>58</v>
      </c>
      <c r="C17" s="991"/>
      <c r="D17" s="991"/>
      <c r="E17" s="991"/>
      <c r="F17" s="991"/>
      <c r="G17" s="991"/>
      <c r="H17" s="583"/>
      <c r="I17" s="560"/>
      <c r="J17" s="1"/>
      <c r="K17" s="1"/>
    </row>
    <row r="18" spans="2:15" s="2" customFormat="1">
      <c r="B18" s="990" t="str">
        <f>B2</f>
        <v xml:space="preserve"> ณ วันที่ 12 กันยายน  2566</v>
      </c>
      <c r="C18" s="990"/>
      <c r="D18" s="990"/>
      <c r="E18" s="990"/>
      <c r="F18" s="990"/>
      <c r="G18" s="990"/>
      <c r="H18" s="581"/>
      <c r="I18" s="559"/>
      <c r="J18" s="1"/>
      <c r="K18" s="1"/>
    </row>
    <row r="19" spans="2:15" s="2" customFormat="1">
      <c r="B19" s="31" t="s">
        <v>1556</v>
      </c>
      <c r="C19" s="32" t="s">
        <v>2</v>
      </c>
      <c r="D19" s="15" t="s">
        <v>60</v>
      </c>
      <c r="E19" s="33" t="s">
        <v>61</v>
      </c>
      <c r="F19" s="34" t="s">
        <v>63</v>
      </c>
      <c r="G19" s="7" t="s">
        <v>65</v>
      </c>
      <c r="H19" s="44"/>
      <c r="I19" s="44"/>
      <c r="J19" s="1"/>
    </row>
    <row r="20" spans="2:15" ht="42">
      <c r="B20" s="266" t="s">
        <v>173</v>
      </c>
      <c r="C20" s="423" t="s">
        <v>167</v>
      </c>
      <c r="D20" s="107">
        <f>งบประมาณกิจกรรม!D131</f>
        <v>165691431.75</v>
      </c>
      <c r="E20" s="107">
        <f>งบประมาณกิจกรรม!E131</f>
        <v>165691431.75</v>
      </c>
      <c r="F20" s="107">
        <f>D20-E20</f>
        <v>0</v>
      </c>
      <c r="G20" s="168">
        <f>E20*100/D20</f>
        <v>100</v>
      </c>
      <c r="H20" s="566"/>
      <c r="I20" s="566"/>
      <c r="K20" s="4"/>
    </row>
    <row r="21" spans="2:15" ht="42">
      <c r="B21" s="266" t="s">
        <v>173</v>
      </c>
      <c r="C21" s="267" t="s">
        <v>171</v>
      </c>
      <c r="D21" s="11">
        <f>งบประมาณกิจกรรม!D134</f>
        <v>3804337.5</v>
      </c>
      <c r="E21" s="107">
        <f>งบประมาณกิจกรรม!E134</f>
        <v>3804337.5</v>
      </c>
      <c r="F21" s="107">
        <f>D21-E21</f>
        <v>0</v>
      </c>
      <c r="G21" s="168">
        <f>E21*100/D21</f>
        <v>100</v>
      </c>
      <c r="H21" s="566"/>
      <c r="I21" s="566"/>
      <c r="J21" s="3">
        <v>0</v>
      </c>
      <c r="K21" s="4"/>
    </row>
    <row r="22" spans="2:15">
      <c r="B22" s="993" t="s">
        <v>66</v>
      </c>
      <c r="C22" s="994"/>
      <c r="D22" s="12">
        <f>SUM(D20:D21)</f>
        <v>169495769.25</v>
      </c>
      <c r="E22" s="12">
        <f>SUM(E20:E21)</f>
        <v>169495769.25</v>
      </c>
      <c r="F22" s="12">
        <f>SUM(F20:F21)</f>
        <v>0</v>
      </c>
      <c r="G22" s="548">
        <f>E22*100/D22</f>
        <v>100</v>
      </c>
      <c r="H22" s="566"/>
      <c r="I22" s="566"/>
      <c r="K22" s="4"/>
    </row>
    <row r="23" spans="2:15">
      <c r="B23" s="911"/>
      <c r="C23" s="911"/>
      <c r="D23" s="912"/>
      <c r="E23" s="912"/>
      <c r="F23" s="912"/>
      <c r="G23" s="566"/>
      <c r="H23" s="566"/>
      <c r="I23" s="566"/>
      <c r="K23" s="4"/>
    </row>
    <row r="24" spans="2:15" s="2" customFormat="1">
      <c r="B24" s="991" t="s">
        <v>58</v>
      </c>
      <c r="C24" s="991"/>
      <c r="D24" s="991"/>
      <c r="E24" s="991"/>
      <c r="F24" s="991"/>
      <c r="G24" s="991"/>
      <c r="H24" s="583"/>
      <c r="I24" s="560"/>
      <c r="J24" s="1"/>
      <c r="K24" s="1"/>
    </row>
    <row r="25" spans="2:15" s="2" customFormat="1">
      <c r="B25" s="31" t="s">
        <v>67</v>
      </c>
      <c r="C25" s="32" t="s">
        <v>2</v>
      </c>
      <c r="D25" s="15" t="s">
        <v>60</v>
      </c>
      <c r="E25" s="33" t="s">
        <v>61</v>
      </c>
      <c r="F25" s="34" t="s">
        <v>63</v>
      </c>
      <c r="G25" s="7" t="s">
        <v>65</v>
      </c>
      <c r="H25" s="44"/>
      <c r="I25" s="44"/>
      <c r="J25" s="1"/>
    </row>
    <row r="26" spans="2:15">
      <c r="B26" s="9"/>
      <c r="C26" s="151"/>
      <c r="D26" s="107"/>
      <c r="E26" s="107"/>
      <c r="F26" s="107"/>
      <c r="G26" s="168"/>
      <c r="H26" s="566"/>
      <c r="I26" s="566"/>
      <c r="K26" s="4"/>
    </row>
    <row r="27" spans="2:15" s="2" customFormat="1">
      <c r="B27" s="37" t="s">
        <v>197</v>
      </c>
      <c r="C27" s="10" t="s">
        <v>195</v>
      </c>
      <c r="D27" s="107">
        <v>5000</v>
      </c>
      <c r="E27" s="107">
        <v>4800</v>
      </c>
      <c r="F27" s="107">
        <f>D27-E27</f>
        <v>200</v>
      </c>
      <c r="G27" s="168">
        <f>E27*100/D27</f>
        <v>96</v>
      </c>
      <c r="H27" s="566" t="s">
        <v>1440</v>
      </c>
      <c r="I27" s="566"/>
      <c r="J27" s="1"/>
      <c r="L27" s="4"/>
      <c r="M27" s="3"/>
      <c r="N27" s="16"/>
      <c r="O27" s="4"/>
    </row>
    <row r="28" spans="2:15" s="2" customFormat="1">
      <c r="B28" s="37" t="s">
        <v>218</v>
      </c>
      <c r="C28" s="10" t="s">
        <v>215</v>
      </c>
      <c r="D28" s="107">
        <v>25000</v>
      </c>
      <c r="E28" s="107">
        <v>23000</v>
      </c>
      <c r="F28" s="107">
        <f>D28-E28</f>
        <v>2000</v>
      </c>
      <c r="G28" s="168">
        <f>E28*100/D28</f>
        <v>92</v>
      </c>
      <c r="H28" s="566"/>
      <c r="I28" s="566"/>
      <c r="J28" s="1"/>
      <c r="L28" s="4"/>
      <c r="M28" s="3"/>
      <c r="N28" s="16"/>
      <c r="O28" s="4"/>
    </row>
    <row r="29" spans="2:15" s="2" customFormat="1">
      <c r="B29" s="422" t="s">
        <v>252</v>
      </c>
      <c r="C29" s="10" t="s">
        <v>1259</v>
      </c>
      <c r="D29" s="107">
        <v>10000</v>
      </c>
      <c r="E29" s="107">
        <f>9100+900</f>
        <v>10000</v>
      </c>
      <c r="F29" s="107">
        <f>D29-E29</f>
        <v>0</v>
      </c>
      <c r="G29" s="168">
        <f>E29*100/D29</f>
        <v>100</v>
      </c>
      <c r="H29" s="566"/>
      <c r="I29" s="566"/>
      <c r="J29" s="3"/>
      <c r="K29" s="29"/>
      <c r="L29" s="4"/>
      <c r="M29" s="4"/>
      <c r="N29" s="4"/>
      <c r="O29" s="4"/>
    </row>
    <row r="30" spans="2:15" s="2" customFormat="1">
      <c r="B30" s="37" t="s">
        <v>1516</v>
      </c>
      <c r="C30" s="10" t="s">
        <v>1451</v>
      </c>
      <c r="D30" s="107">
        <v>20000</v>
      </c>
      <c r="E30" s="107">
        <v>20000</v>
      </c>
      <c r="F30" s="107">
        <f>D30-E30</f>
        <v>0</v>
      </c>
      <c r="G30" s="168">
        <f>E30*100/D30</f>
        <v>100</v>
      </c>
      <c r="H30" s="566"/>
      <c r="I30" s="566"/>
      <c r="J30" s="3"/>
      <c r="K30" s="3"/>
      <c r="L30" s="4"/>
      <c r="M30" s="4"/>
      <c r="N30" s="4"/>
      <c r="O30" s="4"/>
    </row>
    <row r="31" spans="2:15" ht="21.75" thickBot="1">
      <c r="C31" s="22" t="s">
        <v>66</v>
      </c>
      <c r="D31" s="35">
        <f>SUM(D27:D30)</f>
        <v>60000</v>
      </c>
      <c r="E31" s="35">
        <f>SUM(E27:E30)</f>
        <v>57800</v>
      </c>
      <c r="F31" s="35">
        <f>SUM(F27:F30)</f>
        <v>2200</v>
      </c>
      <c r="G31" s="35">
        <f>E31*100/D31</f>
        <v>96.333333333333329</v>
      </c>
      <c r="H31" s="585"/>
      <c r="I31" s="567"/>
    </row>
    <row r="32" spans="2:15" ht="21.75" thickTop="1">
      <c r="C32" s="36"/>
      <c r="D32" s="36"/>
      <c r="E32" s="36"/>
      <c r="F32" s="36"/>
      <c r="G32" s="28"/>
      <c r="H32" s="44"/>
      <c r="I32" s="28"/>
    </row>
    <row r="33" spans="2:14" s="2" customFormat="1">
      <c r="B33" s="991" t="s">
        <v>58</v>
      </c>
      <c r="C33" s="991"/>
      <c r="D33" s="991"/>
      <c r="E33" s="991"/>
      <c r="F33" s="991"/>
      <c r="G33" s="991"/>
      <c r="H33" s="583"/>
      <c r="I33" s="560"/>
      <c r="J33" s="3"/>
      <c r="K33" s="29"/>
      <c r="L33" s="4"/>
      <c r="M33" s="4"/>
      <c r="N33" s="4"/>
    </row>
    <row r="34" spans="2:14" s="2" customFormat="1">
      <c r="B34" s="990" t="str">
        <f>B2</f>
        <v xml:space="preserve"> ณ วันที่ 12 กันยายน  2566</v>
      </c>
      <c r="C34" s="990"/>
      <c r="D34" s="990"/>
      <c r="E34" s="990"/>
      <c r="F34" s="990"/>
      <c r="G34" s="990"/>
      <c r="H34" s="581"/>
      <c r="I34" s="559"/>
      <c r="J34" s="3"/>
      <c r="K34" s="29"/>
      <c r="L34" s="4"/>
      <c r="M34" s="4"/>
      <c r="N34" s="4"/>
    </row>
    <row r="35" spans="2:14" s="2" customFormat="1">
      <c r="B35" s="31" t="s">
        <v>69</v>
      </c>
      <c r="C35" s="22" t="s">
        <v>2</v>
      </c>
      <c r="D35" s="8" t="s">
        <v>60</v>
      </c>
      <c r="E35" s="7" t="s">
        <v>61</v>
      </c>
      <c r="F35" s="34" t="s">
        <v>63</v>
      </c>
      <c r="G35" s="7" t="s">
        <v>65</v>
      </c>
      <c r="H35" s="44"/>
      <c r="I35" s="44"/>
      <c r="J35" s="3"/>
      <c r="K35" s="3"/>
      <c r="L35" s="4"/>
      <c r="M35" s="4"/>
      <c r="N35" s="4"/>
    </row>
    <row r="36" spans="2:14" ht="42">
      <c r="B36" s="37" t="s">
        <v>257</v>
      </c>
      <c r="C36" s="39" t="s">
        <v>248</v>
      </c>
      <c r="D36" s="522">
        <f>10000+5000+5000</f>
        <v>20000</v>
      </c>
      <c r="E36" s="20">
        <v>20000</v>
      </c>
      <c r="F36" s="38">
        <f>D36-E36</f>
        <v>0</v>
      </c>
      <c r="G36" s="38">
        <f>E36*100/D36</f>
        <v>100</v>
      </c>
      <c r="H36" s="586" t="s">
        <v>1441</v>
      </c>
      <c r="I36" s="50"/>
      <c r="K36" s="29"/>
    </row>
    <row r="37" spans="2:14">
      <c r="B37" s="993" t="s">
        <v>66</v>
      </c>
      <c r="C37" s="994"/>
      <c r="D37" s="20"/>
      <c r="E37" s="20"/>
      <c r="F37" s="38"/>
      <c r="G37" s="38"/>
      <c r="H37" s="586"/>
      <c r="I37" s="50"/>
      <c r="J37" s="1"/>
      <c r="K37" s="1"/>
      <c r="L37" s="2"/>
      <c r="M37" s="2"/>
      <c r="N37" s="2"/>
    </row>
    <row r="38" spans="2:14" ht="21.75" thickBot="1">
      <c r="C38" s="22" t="s">
        <v>66</v>
      </c>
      <c r="D38" s="40">
        <f>SUM(D36:D37)</f>
        <v>20000</v>
      </c>
      <c r="E38" s="40">
        <f>SUM(E36:E37)</f>
        <v>20000</v>
      </c>
      <c r="F38" s="822">
        <v>0</v>
      </c>
      <c r="G38" s="38">
        <f t="shared" ref="G38" si="4">E38*100/D38</f>
        <v>100</v>
      </c>
      <c r="H38" s="585"/>
      <c r="I38" s="567"/>
      <c r="J38" s="1"/>
      <c r="K38" s="1"/>
      <c r="L38" s="2"/>
      <c r="M38" s="2"/>
      <c r="N38" s="2"/>
    </row>
    <row r="39" spans="2:14" ht="21.75" thickTop="1">
      <c r="B39" s="41"/>
      <c r="C39" s="42"/>
      <c r="D39" s="42"/>
      <c r="E39" s="42"/>
      <c r="F39" s="42"/>
      <c r="G39" s="42"/>
      <c r="H39" s="566"/>
      <c r="I39" s="42"/>
      <c r="J39" s="46"/>
      <c r="K39" s="47"/>
      <c r="L39" s="47"/>
      <c r="M39" s="45"/>
      <c r="N39" s="45"/>
    </row>
    <row r="40" spans="2:14" ht="24" customHeight="1">
      <c r="B40" s="41"/>
      <c r="C40" s="42"/>
      <c r="D40" s="42"/>
      <c r="E40" s="42"/>
      <c r="F40" s="42"/>
      <c r="G40" s="42"/>
      <c r="H40" s="566"/>
      <c r="I40" s="42"/>
      <c r="J40" s="50"/>
      <c r="L40" s="3"/>
    </row>
    <row r="41" spans="2:14" ht="25.5" customHeight="1">
      <c r="B41" s="991" t="s">
        <v>58</v>
      </c>
      <c r="C41" s="991"/>
      <c r="D41" s="991"/>
      <c r="E41" s="991"/>
      <c r="F41" s="991"/>
      <c r="G41" s="991"/>
      <c r="H41" s="583"/>
      <c r="I41" s="560"/>
      <c r="J41" s="50"/>
      <c r="L41" s="3"/>
    </row>
    <row r="42" spans="2:14" ht="25.5" customHeight="1">
      <c r="B42" s="990" t="str">
        <f>B2</f>
        <v xml:space="preserve"> ณ วันที่ 12 กันยายน  2566</v>
      </c>
      <c r="C42" s="990"/>
      <c r="D42" s="990"/>
      <c r="E42" s="990"/>
      <c r="F42" s="990"/>
      <c r="G42" s="990"/>
      <c r="H42" s="581"/>
      <c r="I42" s="559"/>
      <c r="J42" s="50"/>
      <c r="L42" s="3"/>
    </row>
    <row r="43" spans="2:14" ht="24" customHeight="1">
      <c r="B43" s="31" t="s">
        <v>1239</v>
      </c>
      <c r="C43" s="22" t="s">
        <v>2</v>
      </c>
      <c r="D43" s="8" t="s">
        <v>60</v>
      </c>
      <c r="E43" s="7" t="s">
        <v>61</v>
      </c>
      <c r="F43" s="34" t="s">
        <v>63</v>
      </c>
      <c r="G43" s="7" t="s">
        <v>65</v>
      </c>
      <c r="H43" s="44"/>
      <c r="I43" s="44"/>
      <c r="J43" s="50"/>
      <c r="L43" s="3"/>
    </row>
    <row r="44" spans="2:14" ht="63">
      <c r="B44" s="9" t="s">
        <v>1240</v>
      </c>
      <c r="C44" s="39" t="s">
        <v>1231</v>
      </c>
      <c r="D44" s="20">
        <v>17432370</v>
      </c>
      <c r="E44" s="20">
        <v>17200184.460000001</v>
      </c>
      <c r="F44" s="20">
        <f>D44-E44</f>
        <v>232185.53999999911</v>
      </c>
      <c r="G44" s="20">
        <f>E44*100/D44</f>
        <v>98.668078178698593</v>
      </c>
      <c r="H44" s="566"/>
      <c r="I44" s="42"/>
      <c r="J44" s="50"/>
      <c r="L44" s="3"/>
    </row>
    <row r="45" spans="2:14" ht="24" customHeight="1">
      <c r="B45" s="37"/>
      <c r="C45" s="39"/>
      <c r="D45" s="39"/>
      <c r="E45" s="20"/>
      <c r="F45" s="20"/>
      <c r="G45" s="20"/>
      <c r="H45" s="566"/>
      <c r="I45" s="42"/>
      <c r="J45" s="50"/>
      <c r="L45" s="3"/>
    </row>
    <row r="46" spans="2:14" ht="24.75" customHeight="1" thickBot="1">
      <c r="C46" s="42"/>
      <c r="D46" s="35">
        <f>SUM(D44:D45)</f>
        <v>17432370</v>
      </c>
      <c r="E46" s="35">
        <f>SUM(E44:E45)</f>
        <v>17200184.460000001</v>
      </c>
      <c r="F46" s="35">
        <f>SUM(F44:F45)</f>
        <v>232185.53999999911</v>
      </c>
      <c r="G46" s="35">
        <f>SUM(G44:G45)</f>
        <v>98.668078178698593</v>
      </c>
      <c r="H46" s="585"/>
      <c r="I46" s="567"/>
      <c r="J46" s="50"/>
      <c r="L46" s="3"/>
    </row>
    <row r="47" spans="2:14" ht="24.75" customHeight="1" thickTop="1">
      <c r="B47" s="41"/>
      <c r="C47" s="42"/>
      <c r="D47" s="42"/>
      <c r="E47" s="42"/>
      <c r="F47" s="42"/>
      <c r="G47" s="42"/>
      <c r="H47" s="566"/>
      <c r="I47" s="42"/>
      <c r="J47" s="50"/>
      <c r="L47" s="3"/>
    </row>
    <row r="48" spans="2:14" s="2" customFormat="1">
      <c r="B48" s="991" t="s">
        <v>58</v>
      </c>
      <c r="C48" s="991"/>
      <c r="D48" s="991"/>
      <c r="E48" s="991"/>
      <c r="F48" s="991"/>
      <c r="H48" s="583"/>
      <c r="J48" s="50"/>
      <c r="K48" s="3"/>
      <c r="L48" s="3"/>
      <c r="M48" s="4"/>
      <c r="N48" s="4"/>
    </row>
    <row r="49" spans="2:14" s="2" customFormat="1">
      <c r="B49" s="992" t="str">
        <f>B2</f>
        <v xml:space="preserve"> ณ วันที่ 12 กันยายน  2566</v>
      </c>
      <c r="C49" s="992"/>
      <c r="D49" s="992"/>
      <c r="E49" s="992"/>
      <c r="F49" s="992"/>
      <c r="G49" s="45"/>
      <c r="H49" s="581"/>
      <c r="I49" s="45"/>
      <c r="J49" s="50"/>
      <c r="K49" s="3"/>
      <c r="L49" s="3"/>
      <c r="M49" s="4"/>
      <c r="N49" s="4"/>
    </row>
    <row r="50" spans="2:14" s="45" customFormat="1">
      <c r="B50" s="43" t="s">
        <v>72</v>
      </c>
      <c r="C50" s="8" t="s">
        <v>60</v>
      </c>
      <c r="D50" s="7" t="s">
        <v>68</v>
      </c>
      <c r="E50" s="7" t="s">
        <v>64</v>
      </c>
      <c r="F50" s="8" t="s">
        <v>71</v>
      </c>
      <c r="G50" s="44"/>
      <c r="H50" s="44"/>
      <c r="I50" s="44"/>
      <c r="J50" s="53"/>
      <c r="K50" s="3"/>
      <c r="L50" s="3"/>
      <c r="M50" s="4"/>
      <c r="N50" s="4"/>
    </row>
    <row r="51" spans="2:14">
      <c r="B51" s="48" t="s">
        <v>59</v>
      </c>
      <c r="C51" s="49">
        <f>D14</f>
        <v>66260494.189999998</v>
      </c>
      <c r="D51" s="49">
        <f>E14</f>
        <v>66163517.119999997</v>
      </c>
      <c r="E51" s="20">
        <f t="shared" ref="E51:E56" si="5">C51-D51</f>
        <v>96977.070000000298</v>
      </c>
      <c r="F51" s="91">
        <f t="shared" ref="F51:F60" si="6">D51*100/C51</f>
        <v>99.853642700397131</v>
      </c>
      <c r="G51" s="42"/>
      <c r="H51" s="566"/>
      <c r="I51" s="42"/>
    </row>
    <row r="52" spans="2:14">
      <c r="B52" s="48" t="s">
        <v>1032</v>
      </c>
      <c r="C52" s="49">
        <f>D22</f>
        <v>169495769.25</v>
      </c>
      <c r="D52" s="49">
        <f>E22</f>
        <v>169495769.25</v>
      </c>
      <c r="E52" s="20">
        <f t="shared" si="5"/>
        <v>0</v>
      </c>
      <c r="F52" s="91">
        <f t="shared" si="6"/>
        <v>100</v>
      </c>
      <c r="G52" s="42"/>
      <c r="H52" s="566"/>
      <c r="I52" s="42"/>
    </row>
    <row r="53" spans="2:14">
      <c r="B53" s="48" t="s">
        <v>73</v>
      </c>
      <c r="C53" s="49">
        <f>D31</f>
        <v>60000</v>
      </c>
      <c r="D53" s="49">
        <f>E31</f>
        <v>57800</v>
      </c>
      <c r="E53" s="20">
        <f t="shared" si="5"/>
        <v>2200</v>
      </c>
      <c r="F53" s="91">
        <f t="shared" si="6"/>
        <v>96.333333333333329</v>
      </c>
      <c r="G53" s="42"/>
      <c r="H53" s="566"/>
      <c r="I53" s="42"/>
    </row>
    <row r="54" spans="2:14">
      <c r="B54" s="48" t="s">
        <v>69</v>
      </c>
      <c r="C54" s="49">
        <f>D38</f>
        <v>20000</v>
      </c>
      <c r="D54" s="49">
        <f>E38</f>
        <v>20000</v>
      </c>
      <c r="E54" s="20">
        <f t="shared" si="5"/>
        <v>0</v>
      </c>
      <c r="F54" s="91">
        <f t="shared" si="6"/>
        <v>100</v>
      </c>
      <c r="G54" s="42"/>
      <c r="H54" s="566"/>
      <c r="I54" s="42"/>
    </row>
    <row r="55" spans="2:14">
      <c r="B55" s="48" t="s">
        <v>1239</v>
      </c>
      <c r="C55" s="20">
        <f>D44</f>
        <v>17432370</v>
      </c>
      <c r="D55" s="49">
        <f>E44</f>
        <v>17200184.460000001</v>
      </c>
      <c r="E55" s="20">
        <f t="shared" ref="E55" si="7">C55-D55</f>
        <v>232185.53999999911</v>
      </c>
      <c r="F55" s="91">
        <f t="shared" si="6"/>
        <v>98.668078178698593</v>
      </c>
      <c r="G55" s="42"/>
      <c r="H55" s="566"/>
      <c r="I55" s="42"/>
    </row>
    <row r="56" spans="2:14">
      <c r="B56" s="48" t="s">
        <v>74</v>
      </c>
      <c r="C56" s="49">
        <f>SUM('งบครุภัณฑ์-ก่อสร้าง'!J6:J36)</f>
        <v>35772400</v>
      </c>
      <c r="D56" s="49">
        <f>'งบครุภัณฑ์-ก่อสร้าง'!K37</f>
        <v>35771900</v>
      </c>
      <c r="E56" s="20">
        <f t="shared" si="5"/>
        <v>500</v>
      </c>
      <c r="F56" s="91">
        <f t="shared" si="6"/>
        <v>99.998602274379124</v>
      </c>
      <c r="G56" s="42"/>
      <c r="H56" s="566"/>
      <c r="I56" s="42"/>
    </row>
    <row r="57" spans="2:14">
      <c r="B57" s="48" t="s">
        <v>75</v>
      </c>
      <c r="C57" s="49">
        <f>SUM('งบครุภัณฑ์-ก่อสร้าง'!J40:J45)+'งบครุภัณฑ์-ก่อสร้าง'!J71</f>
        <v>28093567.989999998</v>
      </c>
      <c r="D57" s="49">
        <f>'งบครุภัณฑ์-ก่อสร้าง'!K46+'งบครุภัณฑ์-ก่อสร้าง'!K71</f>
        <v>28093255.989999998</v>
      </c>
      <c r="E57" s="20">
        <f>C57-D57</f>
        <v>312</v>
      </c>
      <c r="F57" s="91">
        <f t="shared" si="6"/>
        <v>99.998889425507969</v>
      </c>
      <c r="G57" s="42"/>
      <c r="H57" s="566"/>
      <c r="I57" s="42"/>
    </row>
    <row r="58" spans="2:14" ht="21" hidden="1" customHeight="1">
      <c r="B58" s="48" t="s">
        <v>67</v>
      </c>
      <c r="C58" s="49"/>
      <c r="D58" s="49"/>
      <c r="E58" s="20" t="e">
        <f>D58*100/C58</f>
        <v>#DIV/0!</v>
      </c>
      <c r="F58" s="91" t="e">
        <f t="shared" si="6"/>
        <v>#DIV/0!</v>
      </c>
      <c r="G58" s="42"/>
      <c r="H58" s="566"/>
      <c r="I58" s="42"/>
    </row>
    <row r="59" spans="2:14" ht="21" hidden="1" customHeight="1" thickTop="1">
      <c r="B59" s="48" t="s">
        <v>76</v>
      </c>
      <c r="C59" s="20"/>
      <c r="D59" s="20"/>
      <c r="E59" s="20" t="e">
        <f>D59*100/C59</f>
        <v>#DIV/0!</v>
      </c>
      <c r="F59" s="91" t="e">
        <f t="shared" si="6"/>
        <v>#DIV/0!</v>
      </c>
      <c r="G59" s="42"/>
      <c r="H59" s="566"/>
      <c r="I59" s="42"/>
    </row>
    <row r="60" spans="2:14" ht="21" hidden="1" customHeight="1" thickBot="1">
      <c r="B60" s="48" t="s">
        <v>70</v>
      </c>
      <c r="C60" s="14"/>
      <c r="D60" s="14"/>
      <c r="E60" s="20" t="e">
        <f>D60*100/C60</f>
        <v>#DIV/0!</v>
      </c>
      <c r="F60" s="91" t="e">
        <f t="shared" si="6"/>
        <v>#DIV/0!</v>
      </c>
      <c r="G60" s="42"/>
      <c r="H60" s="566"/>
      <c r="I60" s="42"/>
    </row>
    <row r="61" spans="2:14" ht="21.75" thickBot="1">
      <c r="B61" s="43" t="s">
        <v>77</v>
      </c>
      <c r="C61" s="51">
        <f>SUM(C51:C60)</f>
        <v>317134601.43000001</v>
      </c>
      <c r="D61" s="51">
        <f>SUM(D51:D60)</f>
        <v>316802426.82000005</v>
      </c>
      <c r="E61" s="51">
        <f>SUM(E51:E57)</f>
        <v>332174.6099999994</v>
      </c>
      <c r="F61" s="92">
        <f>D61*100/C61</f>
        <v>99.895257531501713</v>
      </c>
      <c r="G61" s="52"/>
      <c r="H61" s="44"/>
      <c r="I61" s="52"/>
    </row>
    <row r="62" spans="2:14" ht="21.75" thickTop="1">
      <c r="C62" s="821">
        <v>317134601.43000001</v>
      </c>
      <c r="D62" s="821">
        <v>316801926.81999999</v>
      </c>
      <c r="E62" s="821">
        <v>332674.61</v>
      </c>
    </row>
    <row r="63" spans="2:14">
      <c r="C63" s="272">
        <f>C61-C62</f>
        <v>0</v>
      </c>
      <c r="D63" s="272">
        <f>D61-D62</f>
        <v>500.00000005960464</v>
      </c>
      <c r="E63" s="272">
        <f>E61-E62</f>
        <v>-500.00000000058208</v>
      </c>
    </row>
    <row r="64" spans="2:14">
      <c r="C64" s="54"/>
      <c r="D64" s="54"/>
    </row>
    <row r="66" spans="2:9">
      <c r="C66" s="56"/>
      <c r="E66" s="54" t="s">
        <v>78</v>
      </c>
    </row>
    <row r="74" spans="2:9">
      <c r="B74" s="991"/>
      <c r="C74" s="991"/>
      <c r="D74" s="991"/>
      <c r="E74" s="991"/>
      <c r="F74" s="991"/>
      <c r="G74" s="991"/>
      <c r="H74" s="583"/>
      <c r="I74" s="560"/>
    </row>
  </sheetData>
  <mergeCells count="15">
    <mergeCell ref="B42:G42"/>
    <mergeCell ref="B74:G74"/>
    <mergeCell ref="B1:G1"/>
    <mergeCell ref="B2:G2"/>
    <mergeCell ref="B17:G17"/>
    <mergeCell ref="B33:G33"/>
    <mergeCell ref="B34:G34"/>
    <mergeCell ref="B41:G41"/>
    <mergeCell ref="B48:F48"/>
    <mergeCell ref="B49:F49"/>
    <mergeCell ref="B24:G24"/>
    <mergeCell ref="B22:C22"/>
    <mergeCell ref="B14:C14"/>
    <mergeCell ref="B37:C37"/>
    <mergeCell ref="B18:G18"/>
  </mergeCells>
  <pageMargins left="0.98425196850393704" right="0.70866141732283472" top="0.74803149606299213" bottom="0.74803149606299213" header="0.31496062992125984" footer="0.31496062992125984"/>
  <pageSetup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0" sqref="E10"/>
    </sheetView>
  </sheetViews>
  <sheetFormatPr defaultRowHeight="14.25"/>
  <cols>
    <col min="2" max="2" width="14.625" bestFit="1" customWidth="1"/>
    <col min="3" max="7" width="14.125" customWidth="1"/>
  </cols>
  <sheetData>
    <row r="1" spans="1:7" ht="23.25">
      <c r="A1" s="1063" t="s">
        <v>259</v>
      </c>
      <c r="B1" s="1063"/>
      <c r="C1" s="1063"/>
      <c r="D1" s="1063"/>
      <c r="E1" s="1063"/>
      <c r="F1" s="1063"/>
      <c r="G1" s="1063"/>
    </row>
    <row r="2" spans="1:7" ht="26.25" customHeight="1">
      <c r="A2" s="1139" t="s">
        <v>1463</v>
      </c>
      <c r="B2" s="1139"/>
      <c r="C2" s="1139"/>
      <c r="D2" s="1139"/>
      <c r="E2" s="1139"/>
      <c r="F2" s="1139"/>
      <c r="G2" s="1139"/>
    </row>
    <row r="3" spans="1:7" ht="26.25" customHeight="1">
      <c r="A3" s="1139" t="s">
        <v>1461</v>
      </c>
      <c r="B3" s="1139"/>
      <c r="C3" s="1139"/>
      <c r="D3" s="1139"/>
      <c r="E3" s="1139"/>
      <c r="F3" s="1139"/>
      <c r="G3" s="1139"/>
    </row>
    <row r="4" spans="1:7" ht="26.25" customHeight="1">
      <c r="A4" s="1139" t="s">
        <v>1462</v>
      </c>
      <c r="B4" s="1139"/>
      <c r="C4" s="1139"/>
      <c r="D4" s="1139"/>
      <c r="E4" s="1139"/>
      <c r="F4" s="1139"/>
      <c r="G4" s="1139"/>
    </row>
    <row r="5" spans="1:7" ht="30" customHeight="1">
      <c r="A5" s="1140" t="s">
        <v>1464</v>
      </c>
      <c r="B5" s="1140"/>
      <c r="C5" s="1140"/>
      <c r="D5" s="1140"/>
      <c r="E5" s="1140"/>
      <c r="F5" s="1140"/>
      <c r="G5" s="1140"/>
    </row>
    <row r="6" spans="1:7" s="478" customFormat="1" ht="25.5" customHeight="1">
      <c r="A6" s="780" t="s">
        <v>128</v>
      </c>
      <c r="B6" s="780" t="s">
        <v>1262</v>
      </c>
      <c r="C6" s="780" t="s">
        <v>85</v>
      </c>
      <c r="D6" s="780" t="s">
        <v>1269</v>
      </c>
      <c r="E6" s="780" t="s">
        <v>1270</v>
      </c>
      <c r="F6" s="780" t="s">
        <v>63</v>
      </c>
      <c r="G6" s="780" t="s">
        <v>1267</v>
      </c>
    </row>
    <row r="7" spans="1:7" ht="18.75">
      <c r="A7" s="551">
        <v>1</v>
      </c>
      <c r="B7" s="464" t="s">
        <v>1076</v>
      </c>
      <c r="C7" s="642">
        <v>1210750</v>
      </c>
      <c r="D7" s="450">
        <v>0</v>
      </c>
      <c r="E7" s="450">
        <v>0</v>
      </c>
      <c r="F7" s="609">
        <f>C7-D7-E7</f>
        <v>1210750</v>
      </c>
      <c r="G7" s="608">
        <f>+(D7+E7)*100/C7</f>
        <v>0</v>
      </c>
    </row>
    <row r="8" spans="1:7" ht="18.75">
      <c r="A8" s="551">
        <v>2</v>
      </c>
      <c r="B8" s="611" t="s">
        <v>1076</v>
      </c>
      <c r="C8" s="642">
        <v>50000</v>
      </c>
      <c r="D8" s="450">
        <v>0</v>
      </c>
      <c r="E8" s="450">
        <v>0</v>
      </c>
      <c r="F8" s="609">
        <f t="shared" ref="F8:F12" si="0">C8-D8-E8</f>
        <v>50000</v>
      </c>
      <c r="G8" s="608">
        <f t="shared" ref="G8:G12" si="1">+(D8+E8)*100/C8</f>
        <v>0</v>
      </c>
    </row>
    <row r="9" spans="1:7" ht="18.75">
      <c r="A9" s="551">
        <v>3</v>
      </c>
      <c r="B9" s="611" t="s">
        <v>1078</v>
      </c>
      <c r="C9" s="646">
        <v>1391500</v>
      </c>
      <c r="D9" s="609">
        <v>0</v>
      </c>
      <c r="E9" s="609">
        <v>0</v>
      </c>
      <c r="F9" s="609">
        <f t="shared" si="0"/>
        <v>1391500</v>
      </c>
      <c r="G9" s="608">
        <f t="shared" si="1"/>
        <v>0</v>
      </c>
    </row>
    <row r="10" spans="1:7" ht="18.75">
      <c r="A10" s="551">
        <v>4</v>
      </c>
      <c r="B10" s="611" t="s">
        <v>1460</v>
      </c>
      <c r="C10" s="646">
        <v>46650</v>
      </c>
      <c r="D10" s="609">
        <v>0</v>
      </c>
      <c r="E10" s="609">
        <v>0</v>
      </c>
      <c r="F10" s="609">
        <f t="shared" si="0"/>
        <v>46650</v>
      </c>
      <c r="G10" s="608">
        <f t="shared" si="1"/>
        <v>0</v>
      </c>
    </row>
    <row r="11" spans="1:7" ht="18.75">
      <c r="A11" s="551">
        <v>5</v>
      </c>
      <c r="B11" s="611" t="s">
        <v>1460</v>
      </c>
      <c r="C11" s="642">
        <v>68157.8</v>
      </c>
      <c r="D11" s="450">
        <v>0</v>
      </c>
      <c r="E11" s="450">
        <v>0</v>
      </c>
      <c r="F11" s="609">
        <f t="shared" si="0"/>
        <v>68157.8</v>
      </c>
      <c r="G11" s="608">
        <f t="shared" si="1"/>
        <v>0</v>
      </c>
    </row>
    <row r="12" spans="1:7" ht="24" customHeight="1">
      <c r="A12" s="1137" t="s">
        <v>66</v>
      </c>
      <c r="B12" s="1138"/>
      <c r="C12" s="646">
        <f>SUM(C7:C11)</f>
        <v>2767057.8</v>
      </c>
      <c r="D12" s="609">
        <v>0</v>
      </c>
      <c r="E12" s="609">
        <v>0</v>
      </c>
      <c r="F12" s="609">
        <f t="shared" si="0"/>
        <v>2767057.8</v>
      </c>
      <c r="G12" s="608">
        <f t="shared" si="1"/>
        <v>0</v>
      </c>
    </row>
  </sheetData>
  <mergeCells count="6">
    <mergeCell ref="A12:B12"/>
    <mergeCell ref="A1:G1"/>
    <mergeCell ref="A3:G3"/>
    <mergeCell ref="A4:G4"/>
    <mergeCell ref="A2:G2"/>
    <mergeCell ref="A5:G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topLeftCell="B1" zoomScale="90" zoomScaleNormal="90" workbookViewId="0">
      <selection activeCell="E39" sqref="E39"/>
    </sheetView>
  </sheetViews>
  <sheetFormatPr defaultRowHeight="14.25"/>
  <cols>
    <col min="1" max="1" width="56.625" customWidth="1"/>
    <col min="2" max="2" width="24.25" customWidth="1"/>
    <col min="3" max="3" width="14.125" bestFit="1" customWidth="1"/>
    <col min="4" max="4" width="14.125" customWidth="1"/>
    <col min="5" max="5" width="14.75" customWidth="1"/>
    <col min="6" max="6" width="14.25" bestFit="1" customWidth="1"/>
    <col min="7" max="7" width="36.125" bestFit="1" customWidth="1"/>
    <col min="9" max="9" width="14.25" bestFit="1" customWidth="1"/>
  </cols>
  <sheetData>
    <row r="1" spans="1:12" ht="21">
      <c r="A1" s="991" t="s">
        <v>80</v>
      </c>
      <c r="B1" s="991"/>
      <c r="C1" s="991"/>
      <c r="D1" s="991"/>
      <c r="E1" s="991"/>
      <c r="F1" s="991"/>
      <c r="G1" s="991"/>
    </row>
    <row r="2" spans="1:12" ht="21">
      <c r="A2" s="992" t="str">
        <f>งบประมาณ!B2</f>
        <v xml:space="preserve"> ณ วันที่ 12 กันยายน  2566</v>
      </c>
      <c r="B2" s="992"/>
      <c r="C2" s="992"/>
      <c r="D2" s="992"/>
      <c r="E2" s="992"/>
      <c r="F2" s="992"/>
      <c r="G2" s="992"/>
    </row>
    <row r="3" spans="1:12" ht="21">
      <c r="A3" s="5" t="s">
        <v>170</v>
      </c>
      <c r="B3" s="6" t="s">
        <v>2</v>
      </c>
      <c r="C3" s="7" t="s">
        <v>60</v>
      </c>
      <c r="D3" s="7" t="s">
        <v>245</v>
      </c>
      <c r="E3" s="7" t="s">
        <v>79</v>
      </c>
      <c r="F3" s="7" t="s">
        <v>63</v>
      </c>
      <c r="G3" s="7" t="s">
        <v>65</v>
      </c>
    </row>
    <row r="4" spans="1:12" ht="21">
      <c r="A4" s="10" t="s">
        <v>169</v>
      </c>
      <c r="B4" s="10" t="s">
        <v>168</v>
      </c>
      <c r="C4" s="11">
        <v>11508300</v>
      </c>
      <c r="D4" s="125">
        <v>422.5</v>
      </c>
      <c r="E4" s="12">
        <f>วัคชีค!H120</f>
        <v>11507877.5</v>
      </c>
      <c r="F4" s="14">
        <f>C4-E4-D4</f>
        <v>0</v>
      </c>
      <c r="G4" s="14">
        <f>E4*100/C4</f>
        <v>99.996328736650938</v>
      </c>
    </row>
    <row r="5" spans="1:12" s="2" customFormat="1" ht="21">
      <c r="A5" s="10" t="s">
        <v>200</v>
      </c>
      <c r="B5" s="10" t="s">
        <v>199</v>
      </c>
      <c r="C5" s="11">
        <v>3120</v>
      </c>
      <c r="D5" s="12">
        <v>3120</v>
      </c>
      <c r="E5" s="12">
        <v>0</v>
      </c>
      <c r="F5" s="12">
        <f>C5-E5</f>
        <v>3120</v>
      </c>
      <c r="G5" s="14">
        <f>E5*100/C5</f>
        <v>0</v>
      </c>
      <c r="I5" s="4"/>
      <c r="J5" s="3"/>
      <c r="K5" s="16"/>
      <c r="L5" s="4"/>
    </row>
    <row r="6" spans="1:12" s="2" customFormat="1" ht="21">
      <c r="A6" s="10" t="s">
        <v>201</v>
      </c>
      <c r="B6" s="10" t="s">
        <v>199</v>
      </c>
      <c r="C6" s="11">
        <v>80000</v>
      </c>
      <c r="D6" s="12">
        <v>80000</v>
      </c>
      <c r="E6" s="12">
        <v>0</v>
      </c>
      <c r="F6" s="12">
        <f>C6-E6</f>
        <v>80000</v>
      </c>
      <c r="G6" s="14">
        <f>E6*100/C6</f>
        <v>0</v>
      </c>
      <c r="J6" s="1"/>
      <c r="K6" s="16"/>
    </row>
    <row r="7" spans="1:12" ht="21">
      <c r="A7" s="17"/>
      <c r="B7" s="10"/>
      <c r="C7" s="107"/>
      <c r="D7" s="107"/>
      <c r="E7" s="108"/>
      <c r="F7" s="14"/>
      <c r="G7" s="14"/>
    </row>
    <row r="8" spans="1:12" ht="21.75" thickBot="1">
      <c r="A8" s="21"/>
      <c r="B8" s="22" t="s">
        <v>66</v>
      </c>
      <c r="C8" s="23">
        <f>SUM(C4:C7)</f>
        <v>11591420</v>
      </c>
      <c r="D8" s="23">
        <f>SUM(D4:D7)</f>
        <v>83542.5</v>
      </c>
      <c r="E8" s="23">
        <f>SUM(E4:E7)</f>
        <v>11507877.5</v>
      </c>
      <c r="F8" s="23">
        <f>SUM(F4:F7)</f>
        <v>83120</v>
      </c>
      <c r="G8" s="24">
        <f>E8*100/C8</f>
        <v>99.27927294498862</v>
      </c>
    </row>
    <row r="9" spans="1:12" ht="15" thickTop="1"/>
    <row r="14" spans="1:12" ht="30.75" customHeight="1">
      <c r="A14" s="1149" t="s">
        <v>80</v>
      </c>
      <c r="B14" s="1150"/>
      <c r="C14" s="1150"/>
      <c r="D14" s="1150"/>
      <c r="E14" s="1150"/>
      <c r="F14" s="1150"/>
      <c r="G14" s="1151"/>
    </row>
    <row r="15" spans="1:12" ht="30.75" customHeight="1">
      <c r="A15" s="1152" t="str">
        <f>A2</f>
        <v xml:space="preserve"> ณ วันที่ 12 กันยายน  2566</v>
      </c>
      <c r="B15" s="1153"/>
      <c r="C15" s="1153"/>
      <c r="D15" s="1153"/>
      <c r="E15" s="1153"/>
      <c r="F15" s="1153"/>
      <c r="G15" s="1154"/>
    </row>
    <row r="16" spans="1:12" ht="21">
      <c r="A16" s="328" t="s">
        <v>1038</v>
      </c>
      <c r="B16" s="328" t="s">
        <v>2</v>
      </c>
      <c r="C16" s="328" t="s">
        <v>60</v>
      </c>
      <c r="D16" s="328" t="s">
        <v>79</v>
      </c>
      <c r="E16" s="328" t="s">
        <v>63</v>
      </c>
      <c r="F16" s="328" t="s">
        <v>65</v>
      </c>
      <c r="G16" s="328" t="s">
        <v>1207</v>
      </c>
    </row>
    <row r="17" spans="1:11" ht="21">
      <c r="A17" s="155" t="s">
        <v>1045</v>
      </c>
      <c r="B17" s="10" t="s">
        <v>1039</v>
      </c>
      <c r="D17" s="10"/>
      <c r="E17" s="10"/>
      <c r="F17" s="284"/>
      <c r="G17" s="10"/>
    </row>
    <row r="18" spans="1:11" ht="21">
      <c r="A18" s="155" t="s">
        <v>1049</v>
      </c>
      <c r="B18" s="10" t="s">
        <v>1085</v>
      </c>
      <c r="C18" s="330">
        <f>4306564.5</f>
        <v>4306564.5</v>
      </c>
      <c r="D18" s="277">
        <f>D37</f>
        <v>4306564.5</v>
      </c>
      <c r="E18" s="277">
        <f>C18-D18</f>
        <v>0</v>
      </c>
      <c r="F18" s="332">
        <f t="shared" ref="F18:F20" si="0">D18*100/C18</f>
        <v>100</v>
      </c>
      <c r="G18" s="278"/>
      <c r="I18" s="115"/>
    </row>
    <row r="19" spans="1:11" ht="21">
      <c r="A19" s="155" t="s">
        <v>1046</v>
      </c>
      <c r="B19" s="10" t="s">
        <v>1086</v>
      </c>
      <c r="C19" s="330">
        <v>4475266</v>
      </c>
      <c r="D19" s="330">
        <v>4475266</v>
      </c>
      <c r="E19" s="277">
        <f>C19-D19</f>
        <v>0</v>
      </c>
      <c r="F19" s="332">
        <f t="shared" si="0"/>
        <v>100</v>
      </c>
      <c r="G19" s="278"/>
      <c r="I19" s="116"/>
    </row>
    <row r="20" spans="1:11" ht="21">
      <c r="A20" s="376" t="s">
        <v>66</v>
      </c>
      <c r="B20" s="377"/>
      <c r="C20" s="331">
        <f>SUM(C18:C19)</f>
        <v>8781830.5</v>
      </c>
      <c r="D20" s="331">
        <f>SUM(D18:D19)</f>
        <v>8781830.5</v>
      </c>
      <c r="E20" s="329">
        <v>0</v>
      </c>
      <c r="F20" s="333">
        <f t="shared" si="0"/>
        <v>100</v>
      </c>
      <c r="G20" s="373"/>
    </row>
    <row r="21" spans="1:11" s="2" customFormat="1" ht="42">
      <c r="A21" s="278" t="s">
        <v>1050</v>
      </c>
      <c r="B21" s="10" t="s">
        <v>1040</v>
      </c>
      <c r="C21" s="276">
        <v>735800</v>
      </c>
      <c r="D21" s="276">
        <f>D115</f>
        <v>735440</v>
      </c>
      <c r="E21" s="277">
        <f t="shared" ref="E21" si="1">C21-D21</f>
        <v>360</v>
      </c>
      <c r="F21" s="332">
        <f>D21*100/C21</f>
        <v>99.951073661321004</v>
      </c>
      <c r="G21" s="374" t="s">
        <v>1208</v>
      </c>
      <c r="H21" s="4"/>
      <c r="I21" s="3"/>
      <c r="J21" s="16"/>
      <c r="K21" s="4"/>
    </row>
    <row r="22" spans="1:11" s="122" customFormat="1" ht="21">
      <c r="A22" s="375" t="s">
        <v>66</v>
      </c>
      <c r="B22" s="375"/>
      <c r="C22" s="329">
        <f>SUM(C21)</f>
        <v>735800</v>
      </c>
      <c r="D22" s="329">
        <f t="shared" ref="D22:E22" si="2">SUM(D21)</f>
        <v>735440</v>
      </c>
      <c r="E22" s="329">
        <f t="shared" si="2"/>
        <v>360</v>
      </c>
      <c r="F22" s="334">
        <f>D22*100/C22</f>
        <v>99.951073661321004</v>
      </c>
      <c r="G22" s="157"/>
    </row>
    <row r="23" spans="1:11" s="122" customFormat="1" ht="21">
      <c r="A23" s="378" t="s">
        <v>1087</v>
      </c>
      <c r="B23" s="378"/>
      <c r="C23" s="335">
        <f>C20+C22</f>
        <v>9517630.5</v>
      </c>
      <c r="D23" s="335">
        <f t="shared" ref="D23:E23" si="3">D20+D22</f>
        <v>9517270.5</v>
      </c>
      <c r="E23" s="335">
        <f t="shared" si="3"/>
        <v>360</v>
      </c>
      <c r="F23" s="336">
        <f>D23*100/C23</f>
        <v>99.996217545953272</v>
      </c>
      <c r="G23" s="118"/>
    </row>
    <row r="24" spans="1:11" s="122" customFormat="1" ht="21">
      <c r="A24" s="246"/>
      <c r="B24" s="246"/>
      <c r="C24" s="302"/>
      <c r="D24" s="302"/>
      <c r="E24" s="302"/>
      <c r="F24" s="302"/>
      <c r="G24" s="246"/>
    </row>
    <row r="25" spans="1:11" s="122" customFormat="1" ht="21">
      <c r="A25" s="1155" t="s">
        <v>1084</v>
      </c>
      <c r="B25" s="1155"/>
      <c r="C25" s="1155"/>
      <c r="D25" s="1155"/>
      <c r="E25" s="1155"/>
      <c r="F25" s="1155"/>
      <c r="G25" s="1155"/>
    </row>
    <row r="26" spans="1:11" s="122" customFormat="1" ht="21.75" thickBot="1">
      <c r="A26" s="1143" t="s">
        <v>1064</v>
      </c>
      <c r="B26" s="1144"/>
      <c r="C26" s="1144"/>
      <c r="D26" s="1144"/>
      <c r="E26" s="1144"/>
      <c r="F26" s="1144"/>
      <c r="G26" s="1144"/>
    </row>
    <row r="27" spans="1:11" ht="21.75" thickBot="1">
      <c r="A27" s="304" t="s">
        <v>278</v>
      </c>
      <c r="B27" s="305" t="s">
        <v>2</v>
      </c>
      <c r="C27" s="306" t="s">
        <v>60</v>
      </c>
      <c r="D27" s="307" t="s">
        <v>79</v>
      </c>
      <c r="E27" s="307" t="s">
        <v>63</v>
      </c>
      <c r="F27" s="307" t="s">
        <v>65</v>
      </c>
      <c r="G27" s="305"/>
    </row>
    <row r="28" spans="1:11" ht="21">
      <c r="A28" s="303" t="s">
        <v>1049</v>
      </c>
      <c r="B28" s="279" t="s">
        <v>1039</v>
      </c>
      <c r="C28" s="279"/>
      <c r="D28" s="279"/>
      <c r="E28" s="279"/>
      <c r="F28" s="279"/>
      <c r="G28" s="279"/>
    </row>
    <row r="29" spans="1:11" ht="21">
      <c r="A29" s="308"/>
      <c r="B29" s="308" t="s">
        <v>1052</v>
      </c>
      <c r="C29" s="276">
        <v>332040</v>
      </c>
      <c r="D29" s="276">
        <v>332040</v>
      </c>
      <c r="E29" s="276">
        <f>C29-D29</f>
        <v>0</v>
      </c>
      <c r="F29" s="10"/>
      <c r="G29" s="10"/>
    </row>
    <row r="30" spans="1:11" ht="21">
      <c r="A30" s="308"/>
      <c r="B30" s="308" t="s">
        <v>1053</v>
      </c>
      <c r="C30" s="276">
        <v>136002</v>
      </c>
      <c r="D30" s="276">
        <v>136002</v>
      </c>
      <c r="E30" s="276">
        <f t="shared" ref="E30:E36" si="4">C30-D30</f>
        <v>0</v>
      </c>
      <c r="F30" s="10"/>
      <c r="G30" s="10"/>
    </row>
    <row r="31" spans="1:11" ht="21">
      <c r="A31" s="308"/>
      <c r="B31" s="308" t="s">
        <v>1054</v>
      </c>
      <c r="C31" s="276">
        <v>189781</v>
      </c>
      <c r="D31" s="276">
        <v>189781</v>
      </c>
      <c r="E31" s="276">
        <f t="shared" si="4"/>
        <v>0</v>
      </c>
      <c r="F31" s="10"/>
      <c r="G31" s="10"/>
    </row>
    <row r="32" spans="1:11" ht="21">
      <c r="A32" s="308"/>
      <c r="B32" s="308" t="s">
        <v>1055</v>
      </c>
      <c r="C32" s="276">
        <v>691113.5</v>
      </c>
      <c r="D32" s="276">
        <v>691113.5</v>
      </c>
      <c r="E32" s="276">
        <f t="shared" si="4"/>
        <v>0</v>
      </c>
      <c r="F32" s="10"/>
      <c r="G32" s="276">
        <v>690043.5</v>
      </c>
    </row>
    <row r="33" spans="1:7" ht="21">
      <c r="A33" s="308"/>
      <c r="B33" s="308" t="s">
        <v>1056</v>
      </c>
      <c r="C33" s="276">
        <v>52002</v>
      </c>
      <c r="D33" s="276">
        <v>52002</v>
      </c>
      <c r="E33" s="276">
        <f t="shared" si="4"/>
        <v>0</v>
      </c>
      <c r="F33" s="10"/>
      <c r="G33" s="276"/>
    </row>
    <row r="34" spans="1:7" ht="21">
      <c r="A34" s="308"/>
      <c r="B34" s="308" t="s">
        <v>1057</v>
      </c>
      <c r="C34" s="276">
        <v>602902</v>
      </c>
      <c r="D34" s="276">
        <v>602902</v>
      </c>
      <c r="E34" s="276">
        <f t="shared" si="4"/>
        <v>0</v>
      </c>
      <c r="F34" s="10"/>
      <c r="G34" s="276"/>
    </row>
    <row r="35" spans="1:7" ht="21">
      <c r="A35" s="308"/>
      <c r="B35" s="308" t="s">
        <v>1058</v>
      </c>
      <c r="C35" s="276">
        <v>751497</v>
      </c>
      <c r="D35" s="276">
        <v>751497</v>
      </c>
      <c r="E35" s="276">
        <f t="shared" si="4"/>
        <v>0</v>
      </c>
      <c r="F35" s="10"/>
      <c r="G35" s="276">
        <v>751187</v>
      </c>
    </row>
    <row r="36" spans="1:7" ht="21.75" thickBot="1">
      <c r="A36" s="309"/>
      <c r="B36" s="309" t="s">
        <v>1059</v>
      </c>
      <c r="C36" s="283">
        <v>1551227</v>
      </c>
      <c r="D36" s="283">
        <v>1551227</v>
      </c>
      <c r="E36" s="276">
        <f t="shared" si="4"/>
        <v>0</v>
      </c>
      <c r="F36" s="282"/>
      <c r="G36" s="282"/>
    </row>
    <row r="37" spans="1:7" ht="21.75" thickBot="1">
      <c r="A37" s="285"/>
      <c r="B37" s="286" t="s">
        <v>1041</v>
      </c>
      <c r="C37" s="287">
        <f>SUM(C29:C36)</f>
        <v>4306564.5</v>
      </c>
      <c r="D37" s="287">
        <f>SUM(D29:D36)</f>
        <v>4306564.5</v>
      </c>
      <c r="E37" s="287">
        <f t="shared" ref="E37" si="5">SUM(E29:E36)</f>
        <v>0</v>
      </c>
      <c r="F37" s="286"/>
      <c r="G37" s="288" t="s">
        <v>1047</v>
      </c>
    </row>
    <row r="38" spans="1:7" ht="21">
      <c r="A38" s="292" t="s">
        <v>1062</v>
      </c>
      <c r="B38" s="10"/>
      <c r="C38" s="276"/>
      <c r="D38" s="281"/>
      <c r="E38" s="281"/>
      <c r="F38" s="281"/>
      <c r="G38" s="280"/>
    </row>
    <row r="39" spans="1:7" ht="21">
      <c r="A39" s="308"/>
      <c r="B39" s="308" t="s">
        <v>1055</v>
      </c>
      <c r="C39" s="276">
        <v>-1070</v>
      </c>
      <c r="D39" s="281"/>
      <c r="E39" s="281"/>
      <c r="F39" s="281"/>
      <c r="G39" s="280"/>
    </row>
    <row r="40" spans="1:7" ht="21">
      <c r="A40" s="308"/>
      <c r="B40" s="308" t="s">
        <v>1058</v>
      </c>
      <c r="C40" s="276">
        <v>-310</v>
      </c>
      <c r="D40" s="281"/>
      <c r="E40" s="281"/>
      <c r="F40" s="281"/>
      <c r="G40" s="280"/>
    </row>
    <row r="41" spans="1:7" ht="21">
      <c r="A41" s="289"/>
      <c r="B41" s="290" t="s">
        <v>1042</v>
      </c>
      <c r="C41" s="291">
        <f>SUM(C39:C40)</f>
        <v>-1380</v>
      </c>
      <c r="D41" s="290"/>
      <c r="E41" s="290"/>
      <c r="F41" s="290"/>
      <c r="G41" s="289" t="s">
        <v>1047</v>
      </c>
    </row>
    <row r="42" spans="1:7" s="295" customFormat="1" ht="21">
      <c r="A42" s="155" t="s">
        <v>1046</v>
      </c>
      <c r="B42" s="293"/>
      <c r="C42" s="294"/>
      <c r="D42" s="293"/>
      <c r="E42" s="293"/>
      <c r="F42" s="293"/>
      <c r="G42" s="292"/>
    </row>
    <row r="43" spans="1:7" s="295" customFormat="1" ht="21">
      <c r="A43" s="313"/>
      <c r="B43" s="313" t="s">
        <v>1052</v>
      </c>
      <c r="C43" s="294">
        <v>9514</v>
      </c>
      <c r="D43" s="294">
        <v>9514</v>
      </c>
      <c r="E43" s="293"/>
      <c r="F43" s="293"/>
      <c r="G43" s="292"/>
    </row>
    <row r="44" spans="1:7" s="295" customFormat="1" ht="21">
      <c r="A44" s="313"/>
      <c r="B44" s="313" t="s">
        <v>1065</v>
      </c>
      <c r="C44" s="294">
        <v>19978</v>
      </c>
      <c r="D44" s="294">
        <v>19978</v>
      </c>
      <c r="E44" s="293"/>
      <c r="F44" s="293"/>
      <c r="G44" s="292"/>
    </row>
    <row r="45" spans="1:7" s="295" customFormat="1" ht="21">
      <c r="A45" s="313"/>
      <c r="B45" s="313" t="s">
        <v>1053</v>
      </c>
      <c r="C45" s="294">
        <v>27937</v>
      </c>
      <c r="D45" s="294">
        <v>27937</v>
      </c>
      <c r="E45" s="293"/>
      <c r="F45" s="293"/>
      <c r="G45" s="292"/>
    </row>
    <row r="46" spans="1:7" s="295" customFormat="1" ht="21">
      <c r="A46" s="313"/>
      <c r="B46" s="313" t="s">
        <v>1054</v>
      </c>
      <c r="C46" s="294">
        <v>7000</v>
      </c>
      <c r="D46" s="294">
        <v>7000</v>
      </c>
      <c r="E46" s="293"/>
      <c r="F46" s="293"/>
      <c r="G46" s="292"/>
    </row>
    <row r="47" spans="1:7" s="295" customFormat="1" ht="21">
      <c r="A47" s="313"/>
      <c r="B47" s="313" t="s">
        <v>1055</v>
      </c>
      <c r="C47" s="294">
        <v>168223.5</v>
      </c>
      <c r="D47" s="294">
        <v>168223.5</v>
      </c>
      <c r="E47" s="293"/>
      <c r="F47" s="293"/>
      <c r="G47" s="292"/>
    </row>
    <row r="48" spans="1:7" s="295" customFormat="1" ht="21">
      <c r="A48" s="313"/>
      <c r="B48" s="313" t="s">
        <v>1056</v>
      </c>
      <c r="C48" s="294">
        <v>28654</v>
      </c>
      <c r="D48" s="294">
        <v>28654</v>
      </c>
      <c r="E48" s="293"/>
      <c r="F48" s="293"/>
      <c r="G48" s="292"/>
    </row>
    <row r="49" spans="1:7" s="295" customFormat="1" ht="21">
      <c r="A49" s="313"/>
      <c r="B49" s="313" t="s">
        <v>1057</v>
      </c>
      <c r="C49" s="294">
        <v>419436</v>
      </c>
      <c r="D49" s="294">
        <v>419436</v>
      </c>
      <c r="E49" s="293"/>
      <c r="F49" s="293"/>
      <c r="G49" s="292"/>
    </row>
    <row r="50" spans="1:7" s="295" customFormat="1" ht="21">
      <c r="A50" s="313"/>
      <c r="B50" s="313" t="s">
        <v>1058</v>
      </c>
      <c r="C50" s="294">
        <v>75368</v>
      </c>
      <c r="D50" s="294">
        <v>75368</v>
      </c>
      <c r="E50" s="293"/>
      <c r="F50" s="293"/>
      <c r="G50" s="292"/>
    </row>
    <row r="51" spans="1:7" s="295" customFormat="1" ht="21">
      <c r="A51" s="313"/>
      <c r="B51" s="313" t="s">
        <v>1066</v>
      </c>
      <c r="C51" s="294">
        <v>1832236</v>
      </c>
      <c r="D51" s="294">
        <v>1832236</v>
      </c>
      <c r="E51" s="293"/>
      <c r="F51" s="293"/>
      <c r="G51" s="292"/>
    </row>
    <row r="52" spans="1:7" s="295" customFormat="1" ht="21.75" thickBot="1">
      <c r="A52" s="314"/>
      <c r="B52" s="314" t="s">
        <v>1059</v>
      </c>
      <c r="C52" s="301">
        <v>1886919.5</v>
      </c>
      <c r="D52" s="301">
        <v>1886919.5</v>
      </c>
      <c r="E52" s="300"/>
      <c r="F52" s="300"/>
      <c r="G52" s="299"/>
    </row>
    <row r="53" spans="1:7" ht="21.75" thickBot="1">
      <c r="A53" s="285"/>
      <c r="B53" s="286" t="s">
        <v>1043</v>
      </c>
      <c r="C53" s="287">
        <v>4475266</v>
      </c>
      <c r="D53" s="287">
        <v>4475266</v>
      </c>
      <c r="E53" s="286"/>
      <c r="F53" s="286"/>
      <c r="G53" s="288" t="s">
        <v>1048</v>
      </c>
    </row>
    <row r="54" spans="1:7" ht="21.75" thickBot="1">
      <c r="A54" s="1141" t="s">
        <v>1063</v>
      </c>
      <c r="B54" s="1142"/>
      <c r="C54" s="310">
        <f>SUM(C43:C53)</f>
        <v>8950532</v>
      </c>
      <c r="D54" s="311"/>
      <c r="E54" s="311"/>
      <c r="F54" s="311"/>
      <c r="G54" s="312"/>
    </row>
    <row r="55" spans="1:7" ht="21.75" thickBot="1">
      <c r="A55" s="304" t="s">
        <v>278</v>
      </c>
      <c r="B55" s="305" t="s">
        <v>2</v>
      </c>
      <c r="C55" s="306" t="s">
        <v>60</v>
      </c>
      <c r="D55" s="307" t="s">
        <v>79</v>
      </c>
      <c r="E55" s="307" t="s">
        <v>63</v>
      </c>
      <c r="F55" s="307" t="s">
        <v>65</v>
      </c>
      <c r="G55" s="305"/>
    </row>
    <row r="56" spans="1:7" ht="21">
      <c r="A56" s="296" t="s">
        <v>1050</v>
      </c>
      <c r="B56" s="297" t="s">
        <v>1040</v>
      </c>
      <c r="C56" s="166"/>
      <c r="D56" s="297"/>
      <c r="E56" s="297"/>
      <c r="F56" s="297"/>
      <c r="G56" s="297"/>
    </row>
    <row r="57" spans="1:7" ht="21">
      <c r="A57" s="315" t="s">
        <v>1060</v>
      </c>
      <c r="B57" s="317" t="s">
        <v>1067</v>
      </c>
      <c r="C57" s="325">
        <v>9480</v>
      </c>
      <c r="D57" s="337">
        <v>9480</v>
      </c>
      <c r="E57" s="325">
        <f t="shared" ref="E57:E82" si="6">C57-D57</f>
        <v>0</v>
      </c>
      <c r="F57" s="281"/>
      <c r="G57" s="281"/>
    </row>
    <row r="58" spans="1:7" ht="21">
      <c r="A58" s="315" t="s">
        <v>1060</v>
      </c>
      <c r="B58" s="317" t="s">
        <v>1068</v>
      </c>
      <c r="C58" s="325">
        <v>36240</v>
      </c>
      <c r="D58" s="337">
        <v>36240</v>
      </c>
      <c r="E58" s="325">
        <f t="shared" si="6"/>
        <v>0</v>
      </c>
      <c r="F58" s="281"/>
      <c r="G58" s="281"/>
    </row>
    <row r="59" spans="1:7" ht="21">
      <c r="A59" s="315" t="s">
        <v>1060</v>
      </c>
      <c r="B59" s="317" t="s">
        <v>1069</v>
      </c>
      <c r="C59" s="325">
        <v>48440</v>
      </c>
      <c r="D59" s="337">
        <v>48440</v>
      </c>
      <c r="E59" s="325">
        <f t="shared" si="6"/>
        <v>0</v>
      </c>
      <c r="F59" s="281"/>
      <c r="G59" s="281"/>
    </row>
    <row r="60" spans="1:7" ht="21">
      <c r="A60" s="315" t="s">
        <v>1060</v>
      </c>
      <c r="B60" s="317" t="s">
        <v>1070</v>
      </c>
      <c r="C60" s="325">
        <v>14640</v>
      </c>
      <c r="D60" s="325">
        <v>14640</v>
      </c>
      <c r="E60" s="325">
        <f t="shared" si="6"/>
        <v>0</v>
      </c>
      <c r="F60" s="281"/>
      <c r="G60" s="281"/>
    </row>
    <row r="61" spans="1:7" ht="21">
      <c r="A61" s="315" t="s">
        <v>1060</v>
      </c>
      <c r="B61" s="317" t="s">
        <v>1071</v>
      </c>
      <c r="C61" s="325">
        <v>105960</v>
      </c>
      <c r="D61" s="337">
        <v>105960</v>
      </c>
      <c r="E61" s="325">
        <f t="shared" si="6"/>
        <v>0</v>
      </c>
      <c r="F61" s="281"/>
      <c r="G61" s="281"/>
    </row>
    <row r="62" spans="1:7" ht="21">
      <c r="A62" s="315" t="s">
        <v>1060</v>
      </c>
      <c r="B62" s="317" t="s">
        <v>1072</v>
      </c>
      <c r="C62" s="325">
        <v>17000</v>
      </c>
      <c r="D62" s="337">
        <v>17000</v>
      </c>
      <c r="E62" s="325">
        <f t="shared" si="6"/>
        <v>0</v>
      </c>
      <c r="F62" s="281"/>
      <c r="G62" s="281"/>
    </row>
    <row r="63" spans="1:7" ht="21">
      <c r="A63" s="315" t="s">
        <v>1060</v>
      </c>
      <c r="B63" s="317" t="s">
        <v>1073</v>
      </c>
      <c r="C63" s="325">
        <v>7320</v>
      </c>
      <c r="D63" s="325">
        <v>7320</v>
      </c>
      <c r="E63" s="325">
        <f t="shared" si="6"/>
        <v>0</v>
      </c>
      <c r="F63" s="281"/>
      <c r="G63" s="281"/>
    </row>
    <row r="64" spans="1:7" ht="21">
      <c r="A64" s="315" t="s">
        <v>1060</v>
      </c>
      <c r="B64" s="317" t="s">
        <v>1074</v>
      </c>
      <c r="C64" s="325">
        <v>7720</v>
      </c>
      <c r="D64" s="337">
        <v>7720</v>
      </c>
      <c r="E64" s="325">
        <f t="shared" si="6"/>
        <v>0</v>
      </c>
      <c r="F64" s="281"/>
      <c r="G64" s="281"/>
    </row>
    <row r="65" spans="1:7" ht="21">
      <c r="A65" s="315" t="s">
        <v>1060</v>
      </c>
      <c r="B65" s="317" t="s">
        <v>1075</v>
      </c>
      <c r="C65" s="325">
        <v>175400</v>
      </c>
      <c r="D65" s="337">
        <v>175400</v>
      </c>
      <c r="E65" s="325">
        <f t="shared" si="6"/>
        <v>0</v>
      </c>
      <c r="F65" s="281"/>
      <c r="G65" s="281"/>
    </row>
    <row r="66" spans="1:7" ht="21">
      <c r="A66" s="315" t="s">
        <v>1060</v>
      </c>
      <c r="B66" s="317" t="s">
        <v>1076</v>
      </c>
      <c r="C66" s="325">
        <v>65440</v>
      </c>
      <c r="D66" s="325">
        <v>65440</v>
      </c>
      <c r="E66" s="325">
        <f t="shared" si="6"/>
        <v>0</v>
      </c>
      <c r="F66" s="281"/>
      <c r="G66" s="281"/>
    </row>
    <row r="67" spans="1:7" ht="21">
      <c r="A67" s="315" t="s">
        <v>1060</v>
      </c>
      <c r="B67" s="317" t="s">
        <v>1077</v>
      </c>
      <c r="C67" s="325">
        <v>5200</v>
      </c>
      <c r="D67" s="337">
        <v>5200</v>
      </c>
      <c r="E67" s="325">
        <f t="shared" si="6"/>
        <v>0</v>
      </c>
      <c r="F67" s="281"/>
      <c r="G67" s="281"/>
    </row>
    <row r="68" spans="1:7" ht="21">
      <c r="A68" s="315" t="s">
        <v>1060</v>
      </c>
      <c r="B68" s="317" t="s">
        <v>1078</v>
      </c>
      <c r="C68" s="325">
        <v>117960</v>
      </c>
      <c r="D68" s="325">
        <v>117960</v>
      </c>
      <c r="E68" s="325">
        <f t="shared" si="6"/>
        <v>0</v>
      </c>
      <c r="F68" s="281"/>
      <c r="G68" s="281"/>
    </row>
    <row r="69" spans="1:7" ht="21">
      <c r="A69" s="315" t="s">
        <v>1060</v>
      </c>
      <c r="B69" s="317" t="s">
        <v>1079</v>
      </c>
      <c r="C69" s="325">
        <v>1640</v>
      </c>
      <c r="D69" s="325">
        <v>1640</v>
      </c>
      <c r="E69" s="325">
        <f t="shared" si="6"/>
        <v>0</v>
      </c>
      <c r="F69" s="281"/>
      <c r="G69" s="281"/>
    </row>
    <row r="70" spans="1:7" ht="21">
      <c r="A70" s="315" t="s">
        <v>1060</v>
      </c>
      <c r="B70" s="317" t="s">
        <v>1080</v>
      </c>
      <c r="C70" s="325">
        <v>1240</v>
      </c>
      <c r="D70" s="325">
        <v>1240</v>
      </c>
      <c r="E70" s="325">
        <f t="shared" si="6"/>
        <v>0</v>
      </c>
      <c r="F70" s="281"/>
      <c r="G70" s="281"/>
    </row>
    <row r="71" spans="1:7" ht="21">
      <c r="A71" s="315" t="s">
        <v>1060</v>
      </c>
      <c r="B71" s="317" t="s">
        <v>1081</v>
      </c>
      <c r="C71" s="325">
        <v>240</v>
      </c>
      <c r="D71" s="325">
        <v>240</v>
      </c>
      <c r="E71" s="325">
        <f t="shared" si="6"/>
        <v>0</v>
      </c>
      <c r="F71" s="281"/>
      <c r="G71" s="281"/>
    </row>
    <row r="72" spans="1:7" ht="21">
      <c r="A72" s="315" t="s">
        <v>1060</v>
      </c>
      <c r="B72" s="317" t="s">
        <v>973</v>
      </c>
      <c r="C72" s="325">
        <v>840</v>
      </c>
      <c r="D72" s="337">
        <v>840</v>
      </c>
      <c r="E72" s="325">
        <f t="shared" si="6"/>
        <v>0</v>
      </c>
      <c r="F72" s="281"/>
      <c r="G72" s="281"/>
    </row>
    <row r="73" spans="1:7" ht="21">
      <c r="A73" s="315" t="s">
        <v>1060</v>
      </c>
      <c r="B73" s="317" t="s">
        <v>984</v>
      </c>
      <c r="C73" s="325">
        <v>2000</v>
      </c>
      <c r="D73" s="337">
        <v>2000</v>
      </c>
      <c r="E73" s="325">
        <f t="shared" si="6"/>
        <v>0</v>
      </c>
      <c r="F73" s="281"/>
      <c r="G73" s="281"/>
    </row>
    <row r="74" spans="1:7" ht="21">
      <c r="A74" s="315" t="s">
        <v>1060</v>
      </c>
      <c r="B74" s="317" t="s">
        <v>982</v>
      </c>
      <c r="C74" s="325">
        <v>400</v>
      </c>
      <c r="D74" s="325">
        <v>40</v>
      </c>
      <c r="E74" s="325">
        <f t="shared" si="6"/>
        <v>360</v>
      </c>
      <c r="F74" s="281"/>
      <c r="G74" s="281"/>
    </row>
    <row r="75" spans="1:7" ht="21">
      <c r="A75" s="315" t="s">
        <v>1060</v>
      </c>
      <c r="B75" s="317" t="s">
        <v>976</v>
      </c>
      <c r="C75" s="325">
        <v>10560</v>
      </c>
      <c r="D75" s="337">
        <v>10560</v>
      </c>
      <c r="E75" s="325">
        <f t="shared" si="6"/>
        <v>0</v>
      </c>
      <c r="F75" s="281"/>
      <c r="G75" s="281"/>
    </row>
    <row r="76" spans="1:7" ht="21">
      <c r="A76" s="315" t="s">
        <v>1060</v>
      </c>
      <c r="B76" s="317" t="s">
        <v>977</v>
      </c>
      <c r="C76" s="325">
        <v>200</v>
      </c>
      <c r="D76" s="337">
        <v>200</v>
      </c>
      <c r="E76" s="325">
        <f t="shared" si="6"/>
        <v>0</v>
      </c>
      <c r="F76" s="281"/>
      <c r="G76" s="281"/>
    </row>
    <row r="77" spans="1:7" ht="21">
      <c r="A77" s="315" t="s">
        <v>1060</v>
      </c>
      <c r="B77" s="317" t="s">
        <v>978</v>
      </c>
      <c r="C77" s="325">
        <v>1440</v>
      </c>
      <c r="D77" s="325">
        <v>1440</v>
      </c>
      <c r="E77" s="325">
        <f t="shared" si="6"/>
        <v>0</v>
      </c>
      <c r="F77" s="281"/>
      <c r="G77" s="281"/>
    </row>
    <row r="78" spans="1:7" ht="21">
      <c r="A78" s="315" t="s">
        <v>1060</v>
      </c>
      <c r="B78" s="317" t="s">
        <v>1082</v>
      </c>
      <c r="C78" s="325">
        <v>200</v>
      </c>
      <c r="D78" s="337">
        <v>200</v>
      </c>
      <c r="E78" s="325">
        <f t="shared" si="6"/>
        <v>0</v>
      </c>
      <c r="F78" s="281"/>
      <c r="G78" s="281"/>
    </row>
    <row r="79" spans="1:7" ht="21">
      <c r="A79" s="315" t="s">
        <v>1060</v>
      </c>
      <c r="B79" s="317" t="s">
        <v>979</v>
      </c>
      <c r="C79" s="325">
        <v>6200</v>
      </c>
      <c r="D79" s="337">
        <v>6200</v>
      </c>
      <c r="E79" s="325">
        <f t="shared" si="6"/>
        <v>0</v>
      </c>
      <c r="F79" s="281"/>
      <c r="G79" s="281"/>
    </row>
    <row r="80" spans="1:7" ht="21">
      <c r="A80" s="315" t="s">
        <v>1060</v>
      </c>
      <c r="B80" s="317" t="s">
        <v>980</v>
      </c>
      <c r="C80" s="325">
        <v>40</v>
      </c>
      <c r="D80" s="325">
        <v>40</v>
      </c>
      <c r="E80" s="325">
        <f t="shared" si="6"/>
        <v>0</v>
      </c>
      <c r="F80" s="281"/>
      <c r="G80" s="281"/>
    </row>
    <row r="81" spans="1:7" ht="21">
      <c r="A81" s="315" t="s">
        <v>1060</v>
      </c>
      <c r="B81" s="317" t="s">
        <v>983</v>
      </c>
      <c r="C81" s="325">
        <v>760</v>
      </c>
      <c r="D81" s="325">
        <v>760</v>
      </c>
      <c r="E81" s="325">
        <f t="shared" si="6"/>
        <v>0</v>
      </c>
      <c r="F81" s="281"/>
      <c r="G81" s="281"/>
    </row>
    <row r="82" spans="1:7" ht="21">
      <c r="A82" s="315" t="s">
        <v>1060</v>
      </c>
      <c r="B82" s="318" t="s">
        <v>981</v>
      </c>
      <c r="C82" s="325">
        <v>2520</v>
      </c>
      <c r="D82" s="337">
        <v>2520</v>
      </c>
      <c r="E82" s="325">
        <f t="shared" si="6"/>
        <v>0</v>
      </c>
      <c r="F82" s="281"/>
      <c r="G82" s="281"/>
    </row>
    <row r="83" spans="1:7" ht="21.75" thickBot="1">
      <c r="A83" s="315" t="s">
        <v>1060</v>
      </c>
      <c r="B83" s="317" t="s">
        <v>1083</v>
      </c>
      <c r="C83" s="325">
        <v>40</v>
      </c>
      <c r="D83" s="325">
        <v>40</v>
      </c>
      <c r="E83" s="325">
        <f>C83-D83</f>
        <v>0</v>
      </c>
      <c r="F83" s="281"/>
      <c r="G83" s="281"/>
    </row>
    <row r="84" spans="1:7" ht="21.75" thickBot="1">
      <c r="A84" s="1147" t="s">
        <v>1063</v>
      </c>
      <c r="B84" s="1148"/>
      <c r="C84" s="326">
        <f>SUM(C57:C83)</f>
        <v>639120</v>
      </c>
      <c r="D84" s="326">
        <f>SUM(D57:D83)</f>
        <v>638760</v>
      </c>
      <c r="E84" s="326">
        <f t="shared" ref="E84" si="7">SUM(E57:E83)</f>
        <v>360</v>
      </c>
      <c r="F84" s="286"/>
      <c r="G84" s="286"/>
    </row>
    <row r="85" spans="1:7" ht="21.75" thickBot="1">
      <c r="A85" s="304" t="s">
        <v>278</v>
      </c>
      <c r="B85" s="305" t="s">
        <v>2</v>
      </c>
      <c r="C85" s="327" t="s">
        <v>60</v>
      </c>
      <c r="D85" s="327" t="s">
        <v>79</v>
      </c>
      <c r="E85" s="327" t="s">
        <v>63</v>
      </c>
      <c r="F85" s="305" t="s">
        <v>65</v>
      </c>
      <c r="G85" s="305"/>
    </row>
    <row r="86" spans="1:7" ht="21">
      <c r="A86" s="298" t="s">
        <v>1061</v>
      </c>
      <c r="B86" s="317" t="s">
        <v>1067</v>
      </c>
      <c r="C86" s="325">
        <v>1000</v>
      </c>
      <c r="D86" s="337">
        <v>1000</v>
      </c>
      <c r="E86" s="325">
        <f t="shared" ref="E86:E112" si="8">C86-D86</f>
        <v>0</v>
      </c>
      <c r="F86" s="316"/>
      <c r="G86" s="316"/>
    </row>
    <row r="87" spans="1:7" ht="21">
      <c r="A87" s="298" t="s">
        <v>1061</v>
      </c>
      <c r="B87" s="317" t="s">
        <v>1068</v>
      </c>
      <c r="C87" s="325">
        <v>5520</v>
      </c>
      <c r="D87" s="337">
        <v>5520</v>
      </c>
      <c r="E87" s="325">
        <f t="shared" si="8"/>
        <v>0</v>
      </c>
      <c r="F87" s="284"/>
      <c r="G87" s="284"/>
    </row>
    <row r="88" spans="1:7" ht="21">
      <c r="A88" s="298" t="s">
        <v>1061</v>
      </c>
      <c r="B88" s="317" t="s">
        <v>1069</v>
      </c>
      <c r="C88" s="325">
        <v>7120</v>
      </c>
      <c r="D88" s="337">
        <v>7120</v>
      </c>
      <c r="E88" s="325">
        <f t="shared" si="8"/>
        <v>0</v>
      </c>
      <c r="F88" s="284"/>
      <c r="G88" s="284"/>
    </row>
    <row r="89" spans="1:7" ht="21">
      <c r="A89" s="298" t="s">
        <v>1061</v>
      </c>
      <c r="B89" s="317" t="s">
        <v>1070</v>
      </c>
      <c r="C89" s="325">
        <v>1480</v>
      </c>
      <c r="D89" s="325">
        <v>1480</v>
      </c>
      <c r="E89" s="325">
        <f t="shared" si="8"/>
        <v>0</v>
      </c>
      <c r="F89" s="284"/>
      <c r="G89" s="284"/>
    </row>
    <row r="90" spans="1:7" ht="21">
      <c r="A90" s="298" t="s">
        <v>1061</v>
      </c>
      <c r="B90" s="317" t="s">
        <v>1071</v>
      </c>
      <c r="C90" s="325">
        <v>4800</v>
      </c>
      <c r="D90" s="337">
        <v>4800</v>
      </c>
      <c r="E90" s="325">
        <f t="shared" si="8"/>
        <v>0</v>
      </c>
      <c r="F90" s="284"/>
      <c r="G90" s="284"/>
    </row>
    <row r="91" spans="1:7" ht="21">
      <c r="A91" s="298" t="s">
        <v>1061</v>
      </c>
      <c r="B91" s="317" t="s">
        <v>1072</v>
      </c>
      <c r="C91" s="325">
        <v>1800</v>
      </c>
      <c r="D91" s="337">
        <v>1800</v>
      </c>
      <c r="E91" s="325">
        <f t="shared" si="8"/>
        <v>0</v>
      </c>
      <c r="F91" s="284"/>
      <c r="G91" s="284"/>
    </row>
    <row r="92" spans="1:7" ht="21">
      <c r="A92" s="298" t="s">
        <v>1061</v>
      </c>
      <c r="B92" s="317" t="s">
        <v>1073</v>
      </c>
      <c r="C92" s="325">
        <v>800</v>
      </c>
      <c r="D92" s="325">
        <v>800</v>
      </c>
      <c r="E92" s="325">
        <f t="shared" si="8"/>
        <v>0</v>
      </c>
      <c r="F92" s="284"/>
      <c r="G92" s="284"/>
    </row>
    <row r="93" spans="1:7" ht="21">
      <c r="A93" s="298" t="s">
        <v>1061</v>
      </c>
      <c r="B93" s="317" t="s">
        <v>1074</v>
      </c>
      <c r="C93" s="325">
        <v>1080</v>
      </c>
      <c r="D93" s="337">
        <v>1080</v>
      </c>
      <c r="E93" s="325">
        <f t="shared" si="8"/>
        <v>0</v>
      </c>
      <c r="F93" s="284"/>
      <c r="G93" s="284"/>
    </row>
    <row r="94" spans="1:7" ht="21">
      <c r="A94" s="298" t="s">
        <v>1061</v>
      </c>
      <c r="B94" s="317" t="s">
        <v>1075</v>
      </c>
      <c r="C94" s="325">
        <v>22120</v>
      </c>
      <c r="D94" s="337">
        <v>22120</v>
      </c>
      <c r="E94" s="325">
        <f t="shared" si="8"/>
        <v>0</v>
      </c>
      <c r="F94" s="284"/>
      <c r="G94" s="284"/>
    </row>
    <row r="95" spans="1:7" ht="21">
      <c r="A95" s="298" t="s">
        <v>1061</v>
      </c>
      <c r="B95" s="317" t="s">
        <v>1076</v>
      </c>
      <c r="C95" s="325">
        <v>7120</v>
      </c>
      <c r="D95" s="325">
        <v>7120</v>
      </c>
      <c r="E95" s="325">
        <f t="shared" si="8"/>
        <v>0</v>
      </c>
      <c r="F95" s="284"/>
      <c r="G95" s="284"/>
    </row>
    <row r="96" spans="1:7" ht="21">
      <c r="A96" s="298" t="s">
        <v>1061</v>
      </c>
      <c r="B96" s="317" t="s">
        <v>1077</v>
      </c>
      <c r="C96" s="325">
        <v>1160</v>
      </c>
      <c r="D96" s="337">
        <v>1160</v>
      </c>
      <c r="E96" s="325">
        <f t="shared" si="8"/>
        <v>0</v>
      </c>
      <c r="F96" s="284"/>
      <c r="G96" s="284"/>
    </row>
    <row r="97" spans="1:7" ht="21">
      <c r="A97" s="298" t="s">
        <v>1061</v>
      </c>
      <c r="B97" s="317" t="s">
        <v>1078</v>
      </c>
      <c r="C97" s="325">
        <v>17480</v>
      </c>
      <c r="D97" s="325">
        <v>17480</v>
      </c>
      <c r="E97" s="325">
        <f t="shared" si="8"/>
        <v>0</v>
      </c>
      <c r="F97" s="284"/>
      <c r="G97" s="284"/>
    </row>
    <row r="98" spans="1:7" ht="21">
      <c r="A98" s="298" t="s">
        <v>1061</v>
      </c>
      <c r="B98" s="317" t="s">
        <v>1079</v>
      </c>
      <c r="C98" s="325">
        <v>400</v>
      </c>
      <c r="D98" s="325">
        <v>400</v>
      </c>
      <c r="E98" s="325">
        <f t="shared" si="8"/>
        <v>0</v>
      </c>
      <c r="F98" s="284"/>
      <c r="G98" s="284"/>
    </row>
    <row r="99" spans="1:7" ht="21">
      <c r="A99" s="298" t="s">
        <v>1061</v>
      </c>
      <c r="B99" s="317" t="s">
        <v>1080</v>
      </c>
      <c r="C99" s="325">
        <v>200</v>
      </c>
      <c r="D99" s="325">
        <v>200</v>
      </c>
      <c r="E99" s="325">
        <f t="shared" si="8"/>
        <v>0</v>
      </c>
      <c r="F99" s="284"/>
      <c r="G99" s="284"/>
    </row>
    <row r="100" spans="1:7" ht="21">
      <c r="A100" s="298" t="s">
        <v>1061</v>
      </c>
      <c r="B100" s="317" t="s">
        <v>1081</v>
      </c>
      <c r="C100" s="325">
        <v>80</v>
      </c>
      <c r="D100" s="325">
        <v>80</v>
      </c>
      <c r="E100" s="325">
        <f t="shared" si="8"/>
        <v>0</v>
      </c>
      <c r="F100" s="284"/>
      <c r="G100" s="284"/>
    </row>
    <row r="101" spans="1:7" ht="21">
      <c r="A101" s="298" t="s">
        <v>1061</v>
      </c>
      <c r="B101" s="317" t="s">
        <v>973</v>
      </c>
      <c r="C101" s="325">
        <v>1480</v>
      </c>
      <c r="D101" s="337">
        <v>1480</v>
      </c>
      <c r="E101" s="325">
        <f t="shared" si="8"/>
        <v>0</v>
      </c>
      <c r="F101" s="284"/>
      <c r="G101" s="284"/>
    </row>
    <row r="102" spans="1:7" ht="21">
      <c r="A102" s="298" t="s">
        <v>1061</v>
      </c>
      <c r="B102" s="317" t="s">
        <v>984</v>
      </c>
      <c r="C102" s="325">
        <v>1480</v>
      </c>
      <c r="D102" s="337">
        <v>1480</v>
      </c>
      <c r="E102" s="325">
        <f t="shared" si="8"/>
        <v>0</v>
      </c>
      <c r="F102" s="284"/>
      <c r="G102" s="284"/>
    </row>
    <row r="103" spans="1:7" ht="21">
      <c r="A103" s="298" t="s">
        <v>1061</v>
      </c>
      <c r="B103" s="317" t="s">
        <v>982</v>
      </c>
      <c r="C103" s="325">
        <v>3880</v>
      </c>
      <c r="D103" s="325">
        <v>3880</v>
      </c>
      <c r="E103" s="325">
        <f t="shared" si="8"/>
        <v>0</v>
      </c>
      <c r="F103" s="284"/>
      <c r="G103" s="284"/>
    </row>
    <row r="104" spans="1:7" ht="21">
      <c r="A104" s="298" t="s">
        <v>1061</v>
      </c>
      <c r="B104" s="317" t="s">
        <v>975</v>
      </c>
      <c r="C104" s="325">
        <v>80</v>
      </c>
      <c r="D104" s="337">
        <v>80</v>
      </c>
      <c r="E104" s="325">
        <f t="shared" si="8"/>
        <v>0</v>
      </c>
      <c r="F104" s="284"/>
      <c r="G104" s="284"/>
    </row>
    <row r="105" spans="1:7" ht="21">
      <c r="A105" s="298" t="s">
        <v>1061</v>
      </c>
      <c r="B105" s="317" t="s">
        <v>976</v>
      </c>
      <c r="C105" s="325">
        <v>5280</v>
      </c>
      <c r="D105" s="337">
        <v>5280</v>
      </c>
      <c r="E105" s="325">
        <f t="shared" si="8"/>
        <v>0</v>
      </c>
      <c r="F105" s="284"/>
      <c r="G105" s="284"/>
    </row>
    <row r="106" spans="1:7" ht="21">
      <c r="A106" s="298" t="s">
        <v>1061</v>
      </c>
      <c r="B106" s="317" t="s">
        <v>963</v>
      </c>
      <c r="C106" s="325">
        <v>120</v>
      </c>
      <c r="D106" s="325">
        <v>120</v>
      </c>
      <c r="E106" s="325">
        <f t="shared" si="8"/>
        <v>0</v>
      </c>
      <c r="F106" s="284"/>
      <c r="G106" s="284"/>
    </row>
    <row r="107" spans="1:7" ht="21">
      <c r="A107" s="298" t="s">
        <v>1061</v>
      </c>
      <c r="B107" s="317" t="s">
        <v>977</v>
      </c>
      <c r="C107" s="325">
        <v>480</v>
      </c>
      <c r="D107" s="337">
        <v>480</v>
      </c>
      <c r="E107" s="325">
        <f t="shared" si="8"/>
        <v>0</v>
      </c>
      <c r="F107" s="284"/>
      <c r="G107" s="284"/>
    </row>
    <row r="108" spans="1:7" ht="21">
      <c r="A108" s="298" t="s">
        <v>1061</v>
      </c>
      <c r="B108" s="317" t="s">
        <v>978</v>
      </c>
      <c r="C108" s="325">
        <v>360</v>
      </c>
      <c r="D108" s="325">
        <v>360</v>
      </c>
      <c r="E108" s="325">
        <f t="shared" si="8"/>
        <v>0</v>
      </c>
      <c r="F108" s="284"/>
      <c r="G108" s="284"/>
    </row>
    <row r="109" spans="1:7" ht="21">
      <c r="A109" s="298" t="s">
        <v>1061</v>
      </c>
      <c r="B109" s="317" t="s">
        <v>1082</v>
      </c>
      <c r="C109" s="325">
        <v>2360</v>
      </c>
      <c r="D109" s="337">
        <v>2360</v>
      </c>
      <c r="E109" s="325">
        <f t="shared" si="8"/>
        <v>0</v>
      </c>
      <c r="F109" s="284"/>
      <c r="G109" s="284"/>
    </row>
    <row r="110" spans="1:7" ht="21">
      <c r="A110" s="298" t="s">
        <v>1061</v>
      </c>
      <c r="B110" s="317" t="s">
        <v>979</v>
      </c>
      <c r="C110" s="325">
        <v>4440</v>
      </c>
      <c r="D110" s="337">
        <v>4440</v>
      </c>
      <c r="E110" s="325">
        <f t="shared" si="8"/>
        <v>0</v>
      </c>
      <c r="F110" s="284"/>
      <c r="G110" s="284"/>
    </row>
    <row r="111" spans="1:7" ht="21">
      <c r="A111" s="298" t="s">
        <v>1061</v>
      </c>
      <c r="B111" s="317" t="s">
        <v>980</v>
      </c>
      <c r="C111" s="325">
        <v>2480</v>
      </c>
      <c r="D111" s="325">
        <v>2480</v>
      </c>
      <c r="E111" s="325">
        <f t="shared" si="8"/>
        <v>0</v>
      </c>
      <c r="F111" s="284"/>
      <c r="G111" s="284"/>
    </row>
    <row r="112" spans="1:7" ht="21">
      <c r="A112" s="298" t="s">
        <v>1061</v>
      </c>
      <c r="B112" s="317" t="s">
        <v>983</v>
      </c>
      <c r="C112" s="325">
        <v>240</v>
      </c>
      <c r="D112" s="325">
        <v>240</v>
      </c>
      <c r="E112" s="325">
        <f t="shared" si="8"/>
        <v>0</v>
      </c>
      <c r="F112" s="284"/>
      <c r="G112" s="284"/>
    </row>
    <row r="113" spans="1:7" ht="21">
      <c r="A113" s="298" t="s">
        <v>1061</v>
      </c>
      <c r="B113" s="318" t="s">
        <v>981</v>
      </c>
      <c r="C113" s="325">
        <v>1840</v>
      </c>
      <c r="D113" s="337">
        <v>1840</v>
      </c>
      <c r="E113" s="325">
        <f>C113-D113</f>
        <v>0</v>
      </c>
      <c r="F113" s="284"/>
      <c r="G113" s="284"/>
    </row>
    <row r="114" spans="1:7" ht="21.75" thickBot="1">
      <c r="A114" s="1145"/>
      <c r="B114" s="1146"/>
      <c r="C114" s="319">
        <f>SUM(C86:C113)</f>
        <v>96680</v>
      </c>
      <c r="D114" s="319">
        <f>SUM(D86:D113)</f>
        <v>96680</v>
      </c>
      <c r="E114" s="319">
        <f t="shared" ref="E114" si="9">SUM(E86:E113)</f>
        <v>0</v>
      </c>
      <c r="F114" s="320"/>
      <c r="G114" s="320"/>
    </row>
    <row r="115" spans="1:7" ht="21.75" thickBot="1">
      <c r="A115" s="321"/>
      <c r="B115" s="322" t="s">
        <v>1044</v>
      </c>
      <c r="C115" s="323">
        <f>C84+C114</f>
        <v>735800</v>
      </c>
      <c r="D115" s="323">
        <f>D84+D114</f>
        <v>735440</v>
      </c>
      <c r="E115" s="323">
        <f t="shared" ref="E115" si="10">E84+E114</f>
        <v>360</v>
      </c>
      <c r="F115" s="322"/>
      <c r="G115" s="324" t="s">
        <v>1051</v>
      </c>
    </row>
  </sheetData>
  <mergeCells count="9">
    <mergeCell ref="A1:G1"/>
    <mergeCell ref="A2:G2"/>
    <mergeCell ref="A54:B54"/>
    <mergeCell ref="A26:G26"/>
    <mergeCell ref="A114:B114"/>
    <mergeCell ref="A84:B84"/>
    <mergeCell ref="A14:G14"/>
    <mergeCell ref="A15:G15"/>
    <mergeCell ref="A25:G25"/>
  </mergeCells>
  <phoneticPr fontId="25" type="noConversion"/>
  <pageMargins left="0.70866141732283472" right="0.70866141732283472" top="0.74803149606299213" bottom="0.74803149606299213" header="0.31496062992125984" footer="0.31496062992125984"/>
  <pageSetup scale="65" fitToHeight="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124"/>
  <sheetViews>
    <sheetView zoomScale="80" zoomScaleNormal="80" workbookViewId="0">
      <selection activeCell="E50" sqref="E50"/>
    </sheetView>
  </sheetViews>
  <sheetFormatPr defaultRowHeight="24" customHeight="1"/>
  <cols>
    <col min="2" max="2" width="19.125" customWidth="1"/>
    <col min="3" max="3" width="11" hidden="1" customWidth="1"/>
    <col min="4" max="4" width="12.625" hidden="1" customWidth="1"/>
    <col min="5" max="5" width="26.875" customWidth="1"/>
    <col min="6" max="6" width="39.375" customWidth="1"/>
    <col min="7" max="7" width="14.875" bestFit="1" customWidth="1"/>
    <col min="8" max="8" width="13.25" bestFit="1" customWidth="1"/>
    <col min="9" max="9" width="8.875" customWidth="1"/>
    <col min="10" max="10" width="51.625" bestFit="1" customWidth="1"/>
    <col min="11" max="11" width="14.25" style="115" bestFit="1" customWidth="1"/>
    <col min="14" max="14" width="11.625" bestFit="1" customWidth="1"/>
    <col min="16" max="16" width="10.625" bestFit="1" customWidth="1"/>
  </cols>
  <sheetData>
    <row r="2" spans="2:12" ht="24" customHeight="1">
      <c r="B2" t="s">
        <v>276</v>
      </c>
    </row>
    <row r="4" spans="2:12" s="162" customFormat="1" ht="24" customHeight="1">
      <c r="B4" s="163" t="s">
        <v>277</v>
      </c>
      <c r="C4" s="163" t="s">
        <v>279</v>
      </c>
      <c r="D4" s="163" t="s">
        <v>4</v>
      </c>
      <c r="E4" s="163" t="s">
        <v>2</v>
      </c>
      <c r="F4" s="163" t="s">
        <v>3</v>
      </c>
      <c r="G4" s="163" t="s">
        <v>283</v>
      </c>
      <c r="H4" s="163" t="s">
        <v>285</v>
      </c>
      <c r="I4" s="165" t="s">
        <v>307</v>
      </c>
      <c r="J4" s="163" t="s">
        <v>278</v>
      </c>
      <c r="K4" s="163" t="s">
        <v>859</v>
      </c>
    </row>
    <row r="5" spans="2:12" ht="24" customHeight="1">
      <c r="B5" s="157" t="s">
        <v>286</v>
      </c>
      <c r="C5" s="157" t="s">
        <v>288</v>
      </c>
      <c r="D5" s="157" t="s">
        <v>289</v>
      </c>
      <c r="E5" s="157" t="s">
        <v>171</v>
      </c>
      <c r="F5" s="157" t="s">
        <v>290</v>
      </c>
      <c r="G5" s="157" t="s">
        <v>291</v>
      </c>
      <c r="H5" s="161">
        <v>850775</v>
      </c>
      <c r="I5" s="157">
        <v>62</v>
      </c>
      <c r="J5" s="157" t="s">
        <v>860</v>
      </c>
      <c r="K5" s="166">
        <v>850775</v>
      </c>
      <c r="L5" s="116">
        <f>H5-K5</f>
        <v>0</v>
      </c>
    </row>
    <row r="6" spans="2:12" ht="24" customHeight="1">
      <c r="B6" s="157" t="s">
        <v>293</v>
      </c>
      <c r="C6" s="157" t="s">
        <v>288</v>
      </c>
      <c r="D6" s="157" t="s">
        <v>289</v>
      </c>
      <c r="E6" s="157" t="s">
        <v>171</v>
      </c>
      <c r="F6" s="157" t="s">
        <v>290</v>
      </c>
      <c r="G6" s="157" t="s">
        <v>294</v>
      </c>
      <c r="H6" s="161">
        <v>278062.5</v>
      </c>
      <c r="I6" s="157">
        <v>125</v>
      </c>
      <c r="J6" s="157" t="s">
        <v>861</v>
      </c>
      <c r="K6" s="166">
        <v>278062.5</v>
      </c>
      <c r="L6" s="116">
        <f t="shared" ref="L6:L11" si="0">H6-K6</f>
        <v>0</v>
      </c>
    </row>
    <row r="7" spans="2:12" ht="24" customHeight="1">
      <c r="B7" s="157" t="s">
        <v>295</v>
      </c>
      <c r="C7" s="157" t="s">
        <v>288</v>
      </c>
      <c r="D7" s="157" t="s">
        <v>289</v>
      </c>
      <c r="E7" s="157" t="s">
        <v>171</v>
      </c>
      <c r="F7" s="157" t="s">
        <v>290</v>
      </c>
      <c r="G7" s="157" t="s">
        <v>294</v>
      </c>
      <c r="H7" s="161">
        <v>355000</v>
      </c>
      <c r="I7" s="157">
        <v>126</v>
      </c>
      <c r="J7" s="157" t="s">
        <v>862</v>
      </c>
      <c r="K7" s="166">
        <v>355000</v>
      </c>
      <c r="L7" s="116">
        <f t="shared" si="0"/>
        <v>0</v>
      </c>
    </row>
    <row r="8" spans="2:12" ht="24" customHeight="1">
      <c r="B8" s="157" t="s">
        <v>296</v>
      </c>
      <c r="C8" s="157" t="s">
        <v>288</v>
      </c>
      <c r="D8" s="157" t="s">
        <v>289</v>
      </c>
      <c r="E8" s="157" t="s">
        <v>171</v>
      </c>
      <c r="F8" s="157" t="s">
        <v>290</v>
      </c>
      <c r="G8" s="157" t="s">
        <v>297</v>
      </c>
      <c r="H8" s="161">
        <v>618000</v>
      </c>
      <c r="I8" s="157">
        <v>128</v>
      </c>
      <c r="J8" s="157" t="s">
        <v>863</v>
      </c>
      <c r="K8" s="166">
        <v>618000</v>
      </c>
      <c r="L8" s="116">
        <f t="shared" si="0"/>
        <v>0</v>
      </c>
    </row>
    <row r="9" spans="2:12" ht="24" customHeight="1">
      <c r="B9" s="157" t="s">
        <v>298</v>
      </c>
      <c r="C9" s="157" t="s">
        <v>288</v>
      </c>
      <c r="D9" s="157" t="s">
        <v>289</v>
      </c>
      <c r="E9" s="157" t="s">
        <v>171</v>
      </c>
      <c r="F9" s="157" t="s">
        <v>290</v>
      </c>
      <c r="G9" s="157" t="s">
        <v>297</v>
      </c>
      <c r="H9" s="161">
        <v>218500</v>
      </c>
      <c r="I9" s="157">
        <v>129</v>
      </c>
      <c r="J9" s="157" t="s">
        <v>864</v>
      </c>
      <c r="K9" s="166">
        <v>218500</v>
      </c>
      <c r="L9" s="116">
        <f t="shared" si="0"/>
        <v>0</v>
      </c>
    </row>
    <row r="10" spans="2:12" ht="24" customHeight="1">
      <c r="B10" s="157" t="s">
        <v>299</v>
      </c>
      <c r="C10" s="157" t="s">
        <v>288</v>
      </c>
      <c r="D10" s="157" t="s">
        <v>289</v>
      </c>
      <c r="E10" s="157" t="s">
        <v>171</v>
      </c>
      <c r="F10" s="157" t="s">
        <v>290</v>
      </c>
      <c r="G10" s="157" t="s">
        <v>297</v>
      </c>
      <c r="H10" s="161">
        <v>24000</v>
      </c>
      <c r="I10" s="157">
        <v>130</v>
      </c>
      <c r="J10" s="157" t="s">
        <v>865</v>
      </c>
      <c r="K10" s="169">
        <v>24000</v>
      </c>
      <c r="L10" s="116">
        <f t="shared" si="0"/>
        <v>0</v>
      </c>
    </row>
    <row r="11" spans="2:12" ht="24" customHeight="1">
      <c r="B11" s="157" t="s">
        <v>300</v>
      </c>
      <c r="C11" s="157" t="s">
        <v>288</v>
      </c>
      <c r="D11" s="157" t="s">
        <v>289</v>
      </c>
      <c r="E11" s="157" t="s">
        <v>171</v>
      </c>
      <c r="F11" s="157" t="s">
        <v>290</v>
      </c>
      <c r="G11" s="157" t="s">
        <v>297</v>
      </c>
      <c r="H11" s="161">
        <v>14000</v>
      </c>
      <c r="I11" s="157">
        <v>131</v>
      </c>
      <c r="J11" s="157" t="s">
        <v>866</v>
      </c>
      <c r="K11" s="166">
        <v>14000</v>
      </c>
      <c r="L11" s="116">
        <f t="shared" si="0"/>
        <v>0</v>
      </c>
    </row>
    <row r="12" spans="2:12" ht="24" customHeight="1">
      <c r="B12" s="157" t="s">
        <v>301</v>
      </c>
      <c r="C12" s="157" t="s">
        <v>288</v>
      </c>
      <c r="D12" s="157" t="s">
        <v>289</v>
      </c>
      <c r="E12" s="157" t="s">
        <v>171</v>
      </c>
      <c r="F12" s="157" t="s">
        <v>290</v>
      </c>
      <c r="G12" s="157" t="s">
        <v>302</v>
      </c>
      <c r="H12" s="161">
        <v>259000</v>
      </c>
      <c r="I12" s="157">
        <v>311</v>
      </c>
      <c r="J12" s="157" t="s">
        <v>867</v>
      </c>
      <c r="K12" s="166">
        <v>259000</v>
      </c>
    </row>
    <row r="13" spans="2:12" ht="24" customHeight="1">
      <c r="B13" s="157" t="s">
        <v>303</v>
      </c>
      <c r="C13" s="157" t="s">
        <v>288</v>
      </c>
      <c r="D13" s="157" t="s">
        <v>289</v>
      </c>
      <c r="E13" s="157" t="s">
        <v>171</v>
      </c>
      <c r="F13" s="157" t="s">
        <v>290</v>
      </c>
      <c r="G13" s="157" t="s">
        <v>302</v>
      </c>
      <c r="H13" s="161">
        <v>189000</v>
      </c>
      <c r="I13" s="157">
        <v>312</v>
      </c>
      <c r="J13" s="157" t="s">
        <v>868</v>
      </c>
      <c r="K13" s="166">
        <v>189000</v>
      </c>
    </row>
    <row r="14" spans="2:12" ht="24" customHeight="1">
      <c r="B14" s="157" t="s">
        <v>304</v>
      </c>
      <c r="C14" s="157" t="s">
        <v>288</v>
      </c>
      <c r="D14" s="157" t="s">
        <v>289</v>
      </c>
      <c r="E14" s="157" t="s">
        <v>171</v>
      </c>
      <c r="F14" s="157" t="s">
        <v>290</v>
      </c>
      <c r="G14" s="157" t="s">
        <v>302</v>
      </c>
      <c r="H14" s="161">
        <v>988000</v>
      </c>
      <c r="I14" s="157">
        <v>313</v>
      </c>
      <c r="J14" s="157" t="s">
        <v>869</v>
      </c>
      <c r="K14" s="166">
        <v>988000</v>
      </c>
    </row>
    <row r="15" spans="2:12" ht="24" customHeight="1">
      <c r="B15" s="157" t="s">
        <v>305</v>
      </c>
      <c r="C15" s="157" t="s">
        <v>288</v>
      </c>
      <c r="D15" s="157" t="s">
        <v>289</v>
      </c>
      <c r="E15" s="157" t="s">
        <v>171</v>
      </c>
      <c r="F15" s="157" t="s">
        <v>290</v>
      </c>
      <c r="G15" s="157" t="s">
        <v>302</v>
      </c>
      <c r="H15" s="161">
        <v>10000</v>
      </c>
      <c r="I15" s="157">
        <v>314</v>
      </c>
      <c r="J15" s="157" t="s">
        <v>869</v>
      </c>
      <c r="K15" s="166">
        <v>10000</v>
      </c>
    </row>
    <row r="16" spans="2:12" ht="24" customHeight="1">
      <c r="B16" s="157" t="s">
        <v>306</v>
      </c>
      <c r="C16" s="157"/>
      <c r="D16" s="157"/>
      <c r="E16" s="157"/>
      <c r="F16" s="157"/>
      <c r="G16" s="157"/>
      <c r="H16" s="161">
        <v>3804337.5</v>
      </c>
      <c r="I16" s="157"/>
      <c r="J16" s="157"/>
      <c r="K16" s="166">
        <f>SUM(K5:K15)</f>
        <v>3804337.5</v>
      </c>
    </row>
    <row r="18" spans="2:14" ht="24" customHeight="1">
      <c r="B18" s="385"/>
      <c r="C18" s="385"/>
      <c r="D18" s="385"/>
      <c r="E18" s="385"/>
      <c r="F18" s="385"/>
      <c r="G18" s="385"/>
      <c r="H18" s="385"/>
      <c r="I18" s="385"/>
      <c r="J18" s="385"/>
      <c r="K18" s="386"/>
      <c r="L18" s="385"/>
      <c r="M18" s="385"/>
      <c r="N18" s="385"/>
    </row>
    <row r="19" spans="2:14" ht="24" customHeight="1">
      <c r="B19" s="1156" t="s">
        <v>276</v>
      </c>
      <c r="C19" s="1156"/>
      <c r="D19" s="1156"/>
      <c r="E19" s="1156"/>
      <c r="F19" s="1156"/>
      <c r="G19" s="1156"/>
      <c r="H19" s="1156"/>
      <c r="I19" s="1156"/>
      <c r="J19" s="1156"/>
      <c r="K19" s="1156"/>
      <c r="L19" s="409"/>
      <c r="M19" s="409"/>
      <c r="N19" s="409"/>
    </row>
    <row r="20" spans="2:14" ht="24" customHeight="1">
      <c r="B20" s="1157"/>
      <c r="C20" s="1157"/>
      <c r="D20" s="1157"/>
      <c r="E20" s="1157"/>
      <c r="F20" s="1157"/>
      <c r="G20" s="1157"/>
      <c r="H20" s="1157"/>
      <c r="I20" s="1157"/>
      <c r="J20" s="1157"/>
      <c r="K20" s="1157"/>
      <c r="L20" s="410"/>
      <c r="M20" s="410"/>
      <c r="N20" s="410"/>
    </row>
    <row r="21" spans="2:14" ht="24" customHeight="1">
      <c r="B21" s="387" t="s">
        <v>277</v>
      </c>
      <c r="C21" s="387" t="s">
        <v>279</v>
      </c>
      <c r="D21" s="387" t="s">
        <v>4</v>
      </c>
      <c r="E21" s="387" t="s">
        <v>2</v>
      </c>
      <c r="F21" s="387" t="s">
        <v>3</v>
      </c>
      <c r="G21" s="387" t="s">
        <v>283</v>
      </c>
      <c r="H21" s="388" t="s">
        <v>285</v>
      </c>
      <c r="I21" s="389" t="s">
        <v>307</v>
      </c>
      <c r="J21" s="390" t="s">
        <v>278</v>
      </c>
      <c r="K21" s="169"/>
      <c r="L21" s="385"/>
      <c r="M21" s="385"/>
      <c r="N21" s="385"/>
    </row>
    <row r="22" spans="2:14" s="194" customFormat="1" ht="24" customHeight="1">
      <c r="B22" s="387" t="s">
        <v>717</v>
      </c>
      <c r="C22" s="387" t="s">
        <v>288</v>
      </c>
      <c r="D22" s="387" t="s">
        <v>718</v>
      </c>
      <c r="E22" s="387" t="s">
        <v>719</v>
      </c>
      <c r="F22" s="387" t="s">
        <v>169</v>
      </c>
      <c r="G22" s="387" t="s">
        <v>294</v>
      </c>
      <c r="H22" s="388">
        <v>5000</v>
      </c>
      <c r="I22" s="387">
        <v>64</v>
      </c>
      <c r="J22" s="387" t="s">
        <v>809</v>
      </c>
      <c r="K22" s="169">
        <v>5000</v>
      </c>
      <c r="L22" s="391">
        <f t="shared" ref="L22:L53" si="1">H22-K22</f>
        <v>0</v>
      </c>
      <c r="M22" s="385"/>
      <c r="N22" s="385"/>
    </row>
    <row r="23" spans="2:14" s="194" customFormat="1" ht="24" customHeight="1">
      <c r="B23" s="387" t="s">
        <v>720</v>
      </c>
      <c r="C23" s="387" t="s">
        <v>288</v>
      </c>
      <c r="D23" s="387" t="s">
        <v>718</v>
      </c>
      <c r="E23" s="387" t="s">
        <v>719</v>
      </c>
      <c r="F23" s="387" t="s">
        <v>169</v>
      </c>
      <c r="G23" s="387" t="s">
        <v>294</v>
      </c>
      <c r="H23" s="388">
        <v>29000</v>
      </c>
      <c r="I23" s="387">
        <v>68</v>
      </c>
      <c r="J23" s="387" t="s">
        <v>810</v>
      </c>
      <c r="K23" s="169">
        <v>29000</v>
      </c>
      <c r="L23" s="391">
        <f t="shared" si="1"/>
        <v>0</v>
      </c>
      <c r="M23" s="385"/>
      <c r="N23" s="385"/>
    </row>
    <row r="24" spans="2:14" s="194" customFormat="1" ht="24" customHeight="1">
      <c r="B24" s="387" t="s">
        <v>721</v>
      </c>
      <c r="C24" s="387" t="s">
        <v>288</v>
      </c>
      <c r="D24" s="387" t="s">
        <v>718</v>
      </c>
      <c r="E24" s="387" t="s">
        <v>719</v>
      </c>
      <c r="F24" s="387" t="s">
        <v>169</v>
      </c>
      <c r="G24" s="387" t="s">
        <v>294</v>
      </c>
      <c r="H24" s="388">
        <v>8000</v>
      </c>
      <c r="I24" s="387">
        <v>76</v>
      </c>
      <c r="J24" s="387" t="s">
        <v>811</v>
      </c>
      <c r="K24" s="169">
        <v>8000</v>
      </c>
      <c r="L24" s="391">
        <f t="shared" si="1"/>
        <v>0</v>
      </c>
      <c r="M24" s="385"/>
      <c r="N24" s="385"/>
    </row>
    <row r="25" spans="2:14" s="194" customFormat="1" ht="24" customHeight="1">
      <c r="B25" s="387" t="s">
        <v>722</v>
      </c>
      <c r="C25" s="387" t="s">
        <v>288</v>
      </c>
      <c r="D25" s="387" t="s">
        <v>718</v>
      </c>
      <c r="E25" s="387" t="s">
        <v>719</v>
      </c>
      <c r="F25" s="387" t="s">
        <v>169</v>
      </c>
      <c r="G25" s="387" t="s">
        <v>294</v>
      </c>
      <c r="H25" s="388">
        <v>8000</v>
      </c>
      <c r="I25" s="387">
        <v>78</v>
      </c>
      <c r="J25" s="387" t="s">
        <v>812</v>
      </c>
      <c r="K25" s="169">
        <v>8000</v>
      </c>
      <c r="L25" s="391">
        <f t="shared" si="1"/>
        <v>0</v>
      </c>
      <c r="M25" s="385"/>
      <c r="N25" s="385"/>
    </row>
    <row r="26" spans="2:14" s="194" customFormat="1" ht="24" customHeight="1">
      <c r="B26" s="387" t="s">
        <v>723</v>
      </c>
      <c r="C26" s="387" t="s">
        <v>288</v>
      </c>
      <c r="D26" s="387" t="s">
        <v>718</v>
      </c>
      <c r="E26" s="387" t="s">
        <v>719</v>
      </c>
      <c r="F26" s="387" t="s">
        <v>169</v>
      </c>
      <c r="G26" s="387" t="s">
        <v>294</v>
      </c>
      <c r="H26" s="388">
        <v>17000</v>
      </c>
      <c r="I26" s="387">
        <v>80</v>
      </c>
      <c r="J26" s="387" t="s">
        <v>813</v>
      </c>
      <c r="K26" s="169">
        <v>17000</v>
      </c>
      <c r="L26" s="391">
        <f t="shared" si="1"/>
        <v>0</v>
      </c>
      <c r="M26" s="385"/>
      <c r="N26" s="385"/>
    </row>
    <row r="27" spans="2:14" s="194" customFormat="1" ht="24" customHeight="1">
      <c r="B27" s="387" t="s">
        <v>724</v>
      </c>
      <c r="C27" s="387" t="s">
        <v>288</v>
      </c>
      <c r="D27" s="387" t="s">
        <v>718</v>
      </c>
      <c r="E27" s="387" t="s">
        <v>719</v>
      </c>
      <c r="F27" s="387" t="s">
        <v>169</v>
      </c>
      <c r="G27" s="387" t="s">
        <v>294</v>
      </c>
      <c r="H27" s="388">
        <v>50000</v>
      </c>
      <c r="I27" s="387">
        <v>82</v>
      </c>
      <c r="J27" s="387" t="s">
        <v>814</v>
      </c>
      <c r="K27" s="169">
        <v>50000</v>
      </c>
      <c r="L27" s="391">
        <f t="shared" si="1"/>
        <v>0</v>
      </c>
      <c r="M27" s="385"/>
      <c r="N27" s="385"/>
    </row>
    <row r="28" spans="2:14" s="194" customFormat="1" ht="24" customHeight="1">
      <c r="B28" s="387" t="s">
        <v>725</v>
      </c>
      <c r="C28" s="387" t="s">
        <v>288</v>
      </c>
      <c r="D28" s="387" t="s">
        <v>718</v>
      </c>
      <c r="E28" s="387" t="s">
        <v>719</v>
      </c>
      <c r="F28" s="387" t="s">
        <v>169</v>
      </c>
      <c r="G28" s="387" t="s">
        <v>294</v>
      </c>
      <c r="H28" s="388">
        <v>50000</v>
      </c>
      <c r="I28" s="387">
        <v>84</v>
      </c>
      <c r="J28" s="387" t="s">
        <v>815</v>
      </c>
      <c r="K28" s="169">
        <v>50000</v>
      </c>
      <c r="L28" s="391">
        <f t="shared" si="1"/>
        <v>0</v>
      </c>
      <c r="M28" s="385"/>
      <c r="N28" s="385"/>
    </row>
    <row r="29" spans="2:14" s="194" customFormat="1" ht="24" customHeight="1">
      <c r="B29" s="387" t="s">
        <v>726</v>
      </c>
      <c r="C29" s="387" t="s">
        <v>288</v>
      </c>
      <c r="D29" s="387" t="s">
        <v>718</v>
      </c>
      <c r="E29" s="387" t="s">
        <v>719</v>
      </c>
      <c r="F29" s="387" t="s">
        <v>169</v>
      </c>
      <c r="G29" s="387" t="s">
        <v>294</v>
      </c>
      <c r="H29" s="388">
        <v>41000</v>
      </c>
      <c r="I29" s="387">
        <v>86</v>
      </c>
      <c r="J29" s="387" t="s">
        <v>816</v>
      </c>
      <c r="K29" s="169">
        <v>41000</v>
      </c>
      <c r="L29" s="391">
        <f t="shared" si="1"/>
        <v>0</v>
      </c>
      <c r="M29" s="385"/>
      <c r="N29" s="385"/>
    </row>
    <row r="30" spans="2:14" s="194" customFormat="1" ht="24" customHeight="1">
      <c r="B30" s="387" t="s">
        <v>727</v>
      </c>
      <c r="C30" s="387" t="s">
        <v>288</v>
      </c>
      <c r="D30" s="387" t="s">
        <v>718</v>
      </c>
      <c r="E30" s="387" t="s">
        <v>719</v>
      </c>
      <c r="F30" s="387" t="s">
        <v>169</v>
      </c>
      <c r="G30" s="387" t="s">
        <v>294</v>
      </c>
      <c r="H30" s="388">
        <v>42000</v>
      </c>
      <c r="I30" s="387">
        <v>88</v>
      </c>
      <c r="J30" s="387" t="s">
        <v>817</v>
      </c>
      <c r="K30" s="169">
        <v>42000</v>
      </c>
      <c r="L30" s="391">
        <f t="shared" si="1"/>
        <v>0</v>
      </c>
      <c r="M30" s="385"/>
      <c r="N30" s="385"/>
    </row>
    <row r="31" spans="2:14" s="194" customFormat="1" ht="24" customHeight="1">
      <c r="B31" s="387" t="s">
        <v>728</v>
      </c>
      <c r="C31" s="387" t="s">
        <v>288</v>
      </c>
      <c r="D31" s="387" t="s">
        <v>718</v>
      </c>
      <c r="E31" s="387" t="s">
        <v>719</v>
      </c>
      <c r="F31" s="387" t="s">
        <v>169</v>
      </c>
      <c r="G31" s="387" t="s">
        <v>294</v>
      </c>
      <c r="H31" s="388">
        <v>6000</v>
      </c>
      <c r="I31" s="387">
        <v>97</v>
      </c>
      <c r="J31" s="387" t="s">
        <v>818</v>
      </c>
      <c r="K31" s="169">
        <v>6000</v>
      </c>
      <c r="L31" s="391">
        <f t="shared" si="1"/>
        <v>0</v>
      </c>
      <c r="M31" s="385"/>
      <c r="N31" s="385"/>
    </row>
    <row r="32" spans="2:14" s="194" customFormat="1" ht="24" customHeight="1">
      <c r="B32" s="387" t="s">
        <v>729</v>
      </c>
      <c r="C32" s="387" t="s">
        <v>288</v>
      </c>
      <c r="D32" s="387" t="s">
        <v>718</v>
      </c>
      <c r="E32" s="387" t="s">
        <v>719</v>
      </c>
      <c r="F32" s="387" t="s">
        <v>169</v>
      </c>
      <c r="G32" s="387" t="s">
        <v>294</v>
      </c>
      <c r="H32" s="388">
        <v>13500</v>
      </c>
      <c r="I32" s="387">
        <v>99</v>
      </c>
      <c r="J32" s="387" t="s">
        <v>819</v>
      </c>
      <c r="K32" s="169">
        <v>13500</v>
      </c>
      <c r="L32" s="391">
        <f t="shared" si="1"/>
        <v>0</v>
      </c>
      <c r="M32" s="385"/>
      <c r="N32" s="385"/>
    </row>
    <row r="33" spans="2:14" s="194" customFormat="1" ht="24" customHeight="1">
      <c r="B33" s="387" t="s">
        <v>730</v>
      </c>
      <c r="C33" s="387" t="s">
        <v>288</v>
      </c>
      <c r="D33" s="387" t="s">
        <v>718</v>
      </c>
      <c r="E33" s="387" t="s">
        <v>719</v>
      </c>
      <c r="F33" s="387" t="s">
        <v>169</v>
      </c>
      <c r="G33" s="387" t="s">
        <v>294</v>
      </c>
      <c r="H33" s="388">
        <v>36500</v>
      </c>
      <c r="I33" s="387">
        <v>101</v>
      </c>
      <c r="J33" s="387" t="s">
        <v>820</v>
      </c>
      <c r="K33" s="169">
        <v>36500</v>
      </c>
      <c r="L33" s="391">
        <f t="shared" si="1"/>
        <v>0</v>
      </c>
      <c r="M33" s="385"/>
      <c r="N33" s="385"/>
    </row>
    <row r="34" spans="2:14" s="194" customFormat="1" ht="24" customHeight="1">
      <c r="B34" s="387" t="s">
        <v>731</v>
      </c>
      <c r="C34" s="387" t="s">
        <v>288</v>
      </c>
      <c r="D34" s="387" t="s">
        <v>718</v>
      </c>
      <c r="E34" s="387" t="s">
        <v>719</v>
      </c>
      <c r="F34" s="387" t="s">
        <v>169</v>
      </c>
      <c r="G34" s="387" t="s">
        <v>294</v>
      </c>
      <c r="H34" s="388">
        <v>86000</v>
      </c>
      <c r="I34" s="387">
        <v>103</v>
      </c>
      <c r="J34" s="387" t="s">
        <v>821</v>
      </c>
      <c r="K34" s="169">
        <v>86000</v>
      </c>
      <c r="L34" s="391">
        <f t="shared" si="1"/>
        <v>0</v>
      </c>
      <c r="M34" s="385"/>
      <c r="N34" s="385"/>
    </row>
    <row r="35" spans="2:14" s="194" customFormat="1" ht="24" customHeight="1">
      <c r="B35" s="387" t="s">
        <v>732</v>
      </c>
      <c r="C35" s="387" t="s">
        <v>288</v>
      </c>
      <c r="D35" s="387" t="s">
        <v>718</v>
      </c>
      <c r="E35" s="387" t="s">
        <v>719</v>
      </c>
      <c r="F35" s="387" t="s">
        <v>169</v>
      </c>
      <c r="G35" s="387" t="s">
        <v>294</v>
      </c>
      <c r="H35" s="388">
        <v>151000</v>
      </c>
      <c r="I35" s="387">
        <v>105</v>
      </c>
      <c r="J35" s="387" t="s">
        <v>822</v>
      </c>
      <c r="K35" s="169">
        <v>151000</v>
      </c>
      <c r="L35" s="391">
        <f t="shared" si="1"/>
        <v>0</v>
      </c>
      <c r="M35" s="385"/>
      <c r="N35" s="385"/>
    </row>
    <row r="36" spans="2:14" s="194" customFormat="1" ht="24" customHeight="1">
      <c r="B36" s="387" t="s">
        <v>733</v>
      </c>
      <c r="C36" s="387" t="s">
        <v>288</v>
      </c>
      <c r="D36" s="387" t="s">
        <v>718</v>
      </c>
      <c r="E36" s="387" t="s">
        <v>719</v>
      </c>
      <c r="F36" s="387" t="s">
        <v>169</v>
      </c>
      <c r="G36" s="387" t="s">
        <v>294</v>
      </c>
      <c r="H36" s="388">
        <v>121000</v>
      </c>
      <c r="I36" s="387">
        <v>107</v>
      </c>
      <c r="J36" s="387" t="s">
        <v>823</v>
      </c>
      <c r="K36" s="169">
        <v>121000</v>
      </c>
      <c r="L36" s="391">
        <f t="shared" si="1"/>
        <v>0</v>
      </c>
      <c r="M36" s="385"/>
      <c r="N36" s="385"/>
    </row>
    <row r="37" spans="2:14" s="194" customFormat="1" ht="24" customHeight="1">
      <c r="B37" s="387" t="s">
        <v>734</v>
      </c>
      <c r="C37" s="387" t="s">
        <v>288</v>
      </c>
      <c r="D37" s="387" t="s">
        <v>718</v>
      </c>
      <c r="E37" s="387" t="s">
        <v>719</v>
      </c>
      <c r="F37" s="387" t="s">
        <v>169</v>
      </c>
      <c r="G37" s="387" t="s">
        <v>294</v>
      </c>
      <c r="H37" s="388">
        <v>142000</v>
      </c>
      <c r="I37" s="387">
        <v>109</v>
      </c>
      <c r="J37" s="387" t="s">
        <v>824</v>
      </c>
      <c r="K37" s="169">
        <v>142000</v>
      </c>
      <c r="L37" s="391">
        <f t="shared" si="1"/>
        <v>0</v>
      </c>
      <c r="M37" s="385"/>
      <c r="N37" s="385"/>
    </row>
    <row r="38" spans="2:14" s="194" customFormat="1" ht="24" customHeight="1">
      <c r="B38" s="387" t="s">
        <v>735</v>
      </c>
      <c r="C38" s="387" t="s">
        <v>288</v>
      </c>
      <c r="D38" s="387" t="s">
        <v>718</v>
      </c>
      <c r="E38" s="387" t="s">
        <v>719</v>
      </c>
      <c r="F38" s="387" t="s">
        <v>169</v>
      </c>
      <c r="G38" s="387" t="s">
        <v>294</v>
      </c>
      <c r="H38" s="388">
        <v>121000</v>
      </c>
      <c r="I38" s="387">
        <v>111</v>
      </c>
      <c r="J38" s="387" t="s">
        <v>825</v>
      </c>
      <c r="K38" s="169">
        <v>121000</v>
      </c>
      <c r="L38" s="391">
        <f t="shared" si="1"/>
        <v>0</v>
      </c>
      <c r="M38" s="385"/>
      <c r="N38" s="385"/>
    </row>
    <row r="39" spans="2:14" s="194" customFormat="1" ht="24" customHeight="1">
      <c r="B39" s="387" t="s">
        <v>736</v>
      </c>
      <c r="C39" s="387" t="s">
        <v>288</v>
      </c>
      <c r="D39" s="387" t="s">
        <v>718</v>
      </c>
      <c r="E39" s="387" t="s">
        <v>719</v>
      </c>
      <c r="F39" s="387" t="s">
        <v>169</v>
      </c>
      <c r="G39" s="387" t="s">
        <v>294</v>
      </c>
      <c r="H39" s="388">
        <v>2000</v>
      </c>
      <c r="I39" s="387">
        <v>114</v>
      </c>
      <c r="J39" s="387" t="s">
        <v>826</v>
      </c>
      <c r="K39" s="169">
        <v>2000</v>
      </c>
      <c r="L39" s="391">
        <f t="shared" si="1"/>
        <v>0</v>
      </c>
      <c r="M39" s="385"/>
      <c r="N39" s="385"/>
    </row>
    <row r="40" spans="2:14" s="194" customFormat="1" ht="24" customHeight="1">
      <c r="B40" s="387" t="s">
        <v>737</v>
      </c>
      <c r="C40" s="387" t="s">
        <v>288</v>
      </c>
      <c r="D40" s="387" t="s">
        <v>718</v>
      </c>
      <c r="E40" s="387" t="s">
        <v>719</v>
      </c>
      <c r="F40" s="387" t="s">
        <v>169</v>
      </c>
      <c r="G40" s="387" t="s">
        <v>294</v>
      </c>
      <c r="H40" s="388">
        <v>24250</v>
      </c>
      <c r="I40" s="387">
        <v>116</v>
      </c>
      <c r="J40" s="387" t="s">
        <v>827</v>
      </c>
      <c r="K40" s="169">
        <v>24250</v>
      </c>
      <c r="L40" s="391">
        <f t="shared" si="1"/>
        <v>0</v>
      </c>
      <c r="M40" s="385"/>
      <c r="N40" s="385"/>
    </row>
    <row r="41" spans="2:14" s="194" customFormat="1" ht="24" customHeight="1">
      <c r="B41" s="387" t="s">
        <v>738</v>
      </c>
      <c r="C41" s="387" t="s">
        <v>288</v>
      </c>
      <c r="D41" s="387" t="s">
        <v>718</v>
      </c>
      <c r="E41" s="387" t="s">
        <v>719</v>
      </c>
      <c r="F41" s="387" t="s">
        <v>169</v>
      </c>
      <c r="G41" s="387" t="s">
        <v>294</v>
      </c>
      <c r="H41" s="388">
        <v>8125</v>
      </c>
      <c r="I41" s="387">
        <v>118</v>
      </c>
      <c r="J41" s="387" t="s">
        <v>828</v>
      </c>
      <c r="K41" s="169">
        <v>8125</v>
      </c>
      <c r="L41" s="391">
        <f t="shared" si="1"/>
        <v>0</v>
      </c>
      <c r="M41" s="385"/>
      <c r="N41" s="385"/>
    </row>
    <row r="42" spans="2:14" s="195" customFormat="1" ht="24" customHeight="1">
      <c r="B42" s="392" t="s">
        <v>739</v>
      </c>
      <c r="C42" s="392" t="s">
        <v>288</v>
      </c>
      <c r="D42" s="392" t="s">
        <v>718</v>
      </c>
      <c r="E42" s="392" t="s">
        <v>719</v>
      </c>
      <c r="F42" s="392" t="s">
        <v>169</v>
      </c>
      <c r="G42" s="392" t="s">
        <v>294</v>
      </c>
      <c r="H42" s="393">
        <v>15500</v>
      </c>
      <c r="I42" s="394">
        <v>120</v>
      </c>
      <c r="J42" s="394" t="s">
        <v>529</v>
      </c>
      <c r="K42" s="395">
        <v>15500</v>
      </c>
      <c r="L42" s="396">
        <f t="shared" si="1"/>
        <v>0</v>
      </c>
      <c r="M42" s="397"/>
      <c r="N42" s="397"/>
    </row>
    <row r="43" spans="2:14" s="194" customFormat="1" ht="24" customHeight="1">
      <c r="B43" s="387" t="s">
        <v>740</v>
      </c>
      <c r="C43" s="387" t="s">
        <v>288</v>
      </c>
      <c r="D43" s="387" t="s">
        <v>718</v>
      </c>
      <c r="E43" s="387" t="s">
        <v>719</v>
      </c>
      <c r="F43" s="387" t="s">
        <v>169</v>
      </c>
      <c r="G43" s="387" t="s">
        <v>294</v>
      </c>
      <c r="H43" s="388">
        <v>3500</v>
      </c>
      <c r="I43" s="387">
        <v>122</v>
      </c>
      <c r="J43" s="387" t="s">
        <v>829</v>
      </c>
      <c r="K43" s="169">
        <v>3500</v>
      </c>
      <c r="L43" s="391">
        <f t="shared" si="1"/>
        <v>0</v>
      </c>
      <c r="M43" s="385"/>
      <c r="N43" s="385"/>
    </row>
    <row r="44" spans="2:14" s="194" customFormat="1" ht="24" customHeight="1">
      <c r="B44" s="387" t="s">
        <v>741</v>
      </c>
      <c r="C44" s="387" t="s">
        <v>288</v>
      </c>
      <c r="D44" s="387" t="s">
        <v>718</v>
      </c>
      <c r="E44" s="387" t="s">
        <v>719</v>
      </c>
      <c r="F44" s="387" t="s">
        <v>169</v>
      </c>
      <c r="G44" s="387" t="s">
        <v>297</v>
      </c>
      <c r="H44" s="388">
        <v>15500</v>
      </c>
      <c r="I44" s="387">
        <v>132</v>
      </c>
      <c r="J44" s="387" t="s">
        <v>830</v>
      </c>
      <c r="K44" s="169">
        <v>15500</v>
      </c>
      <c r="L44" s="391">
        <f t="shared" si="1"/>
        <v>0</v>
      </c>
      <c r="M44" s="385"/>
      <c r="N44" s="385"/>
    </row>
    <row r="45" spans="2:14" s="194" customFormat="1" ht="24" customHeight="1">
      <c r="B45" s="387" t="s">
        <v>742</v>
      </c>
      <c r="C45" s="387" t="s">
        <v>288</v>
      </c>
      <c r="D45" s="387" t="s">
        <v>718</v>
      </c>
      <c r="E45" s="387" t="s">
        <v>719</v>
      </c>
      <c r="F45" s="387" t="s">
        <v>169</v>
      </c>
      <c r="G45" s="387" t="s">
        <v>370</v>
      </c>
      <c r="H45" s="388">
        <v>80000</v>
      </c>
      <c r="I45" s="387">
        <v>166</v>
      </c>
      <c r="J45" s="387" t="s">
        <v>837</v>
      </c>
      <c r="K45" s="169">
        <v>80000</v>
      </c>
      <c r="L45" s="391">
        <f t="shared" si="1"/>
        <v>0</v>
      </c>
      <c r="M45" s="385"/>
      <c r="N45" s="385"/>
    </row>
    <row r="46" spans="2:14" ht="24" customHeight="1">
      <c r="B46" s="387" t="s">
        <v>743</v>
      </c>
      <c r="C46" s="387" t="s">
        <v>288</v>
      </c>
      <c r="D46" s="387" t="s">
        <v>718</v>
      </c>
      <c r="E46" s="387" t="s">
        <v>719</v>
      </c>
      <c r="F46" s="387" t="s">
        <v>169</v>
      </c>
      <c r="G46" s="387" t="s">
        <v>370</v>
      </c>
      <c r="H46" s="388">
        <v>341875</v>
      </c>
      <c r="I46" s="387">
        <v>168</v>
      </c>
      <c r="J46" s="387" t="s">
        <v>838</v>
      </c>
      <c r="K46" s="169">
        <v>341875</v>
      </c>
      <c r="L46" s="391">
        <f t="shared" si="1"/>
        <v>0</v>
      </c>
      <c r="M46" s="385"/>
      <c r="N46" s="385">
        <f>341375+500</f>
        <v>341875</v>
      </c>
    </row>
    <row r="47" spans="2:14" s="194" customFormat="1" ht="24" customHeight="1">
      <c r="B47" s="387" t="s">
        <v>744</v>
      </c>
      <c r="C47" s="387" t="s">
        <v>288</v>
      </c>
      <c r="D47" s="387" t="s">
        <v>718</v>
      </c>
      <c r="E47" s="387" t="s">
        <v>719</v>
      </c>
      <c r="F47" s="387" t="s">
        <v>169</v>
      </c>
      <c r="G47" s="387" t="s">
        <v>370</v>
      </c>
      <c r="H47" s="388">
        <v>673000</v>
      </c>
      <c r="I47" s="387">
        <v>175</v>
      </c>
      <c r="J47" s="387" t="s">
        <v>839</v>
      </c>
      <c r="K47" s="169">
        <v>673000</v>
      </c>
      <c r="L47" s="391">
        <f t="shared" si="1"/>
        <v>0</v>
      </c>
      <c r="M47" s="385"/>
      <c r="N47" s="385"/>
    </row>
    <row r="48" spans="2:14" s="194" customFormat="1" ht="24" customHeight="1">
      <c r="B48" s="387" t="s">
        <v>745</v>
      </c>
      <c r="C48" s="387" t="s">
        <v>288</v>
      </c>
      <c r="D48" s="387" t="s">
        <v>718</v>
      </c>
      <c r="E48" s="387" t="s">
        <v>719</v>
      </c>
      <c r="F48" s="387" t="s">
        <v>169</v>
      </c>
      <c r="G48" s="387" t="s">
        <v>370</v>
      </c>
      <c r="H48" s="388">
        <v>350500</v>
      </c>
      <c r="I48" s="387">
        <v>177</v>
      </c>
      <c r="J48" s="387" t="s">
        <v>840</v>
      </c>
      <c r="K48" s="169">
        <v>350500</v>
      </c>
      <c r="L48" s="391">
        <f t="shared" si="1"/>
        <v>0</v>
      </c>
      <c r="M48" s="385"/>
      <c r="N48" s="385"/>
    </row>
    <row r="49" spans="2:14" s="194" customFormat="1" ht="24" customHeight="1">
      <c r="B49" s="387" t="s">
        <v>746</v>
      </c>
      <c r="C49" s="387" t="s">
        <v>288</v>
      </c>
      <c r="D49" s="387" t="s">
        <v>718</v>
      </c>
      <c r="E49" s="387" t="s">
        <v>719</v>
      </c>
      <c r="F49" s="387" t="s">
        <v>169</v>
      </c>
      <c r="G49" s="387" t="s">
        <v>370</v>
      </c>
      <c r="H49" s="388">
        <v>19000</v>
      </c>
      <c r="I49" s="387">
        <v>153</v>
      </c>
      <c r="J49" s="387" t="s">
        <v>831</v>
      </c>
      <c r="K49" s="169">
        <v>19000</v>
      </c>
      <c r="L49" s="391">
        <f t="shared" si="1"/>
        <v>0</v>
      </c>
      <c r="M49" s="385"/>
      <c r="N49" s="385"/>
    </row>
    <row r="50" spans="2:14" s="194" customFormat="1" ht="24" customHeight="1">
      <c r="B50" s="387" t="s">
        <v>747</v>
      </c>
      <c r="C50" s="387" t="s">
        <v>288</v>
      </c>
      <c r="D50" s="387" t="s">
        <v>718</v>
      </c>
      <c r="E50" s="387" t="s">
        <v>719</v>
      </c>
      <c r="F50" s="387" t="s">
        <v>169</v>
      </c>
      <c r="G50" s="387" t="s">
        <v>370</v>
      </c>
      <c r="H50" s="388">
        <v>68000</v>
      </c>
      <c r="I50" s="387">
        <v>155</v>
      </c>
      <c r="J50" s="387" t="s">
        <v>832</v>
      </c>
      <c r="K50" s="169">
        <v>68000</v>
      </c>
      <c r="L50" s="391">
        <f t="shared" si="1"/>
        <v>0</v>
      </c>
      <c r="M50" s="385"/>
      <c r="N50" s="385"/>
    </row>
    <row r="51" spans="2:14" s="194" customFormat="1" ht="24" customHeight="1">
      <c r="B51" s="387" t="s">
        <v>748</v>
      </c>
      <c r="C51" s="387" t="s">
        <v>288</v>
      </c>
      <c r="D51" s="387" t="s">
        <v>718</v>
      </c>
      <c r="E51" s="387" t="s">
        <v>719</v>
      </c>
      <c r="F51" s="387" t="s">
        <v>169</v>
      </c>
      <c r="G51" s="387" t="s">
        <v>370</v>
      </c>
      <c r="H51" s="388">
        <v>144000</v>
      </c>
      <c r="I51" s="387">
        <v>157</v>
      </c>
      <c r="J51" s="387" t="s">
        <v>833</v>
      </c>
      <c r="K51" s="169">
        <v>144000</v>
      </c>
      <c r="L51" s="391">
        <f t="shared" si="1"/>
        <v>0</v>
      </c>
      <c r="M51" s="385"/>
      <c r="N51" s="385"/>
    </row>
    <row r="52" spans="2:14" s="194" customFormat="1" ht="24" customHeight="1">
      <c r="B52" s="387" t="s">
        <v>749</v>
      </c>
      <c r="C52" s="387" t="s">
        <v>288</v>
      </c>
      <c r="D52" s="387" t="s">
        <v>718</v>
      </c>
      <c r="E52" s="387" t="s">
        <v>719</v>
      </c>
      <c r="F52" s="387" t="s">
        <v>169</v>
      </c>
      <c r="G52" s="387" t="s">
        <v>370</v>
      </c>
      <c r="H52" s="388">
        <v>119000</v>
      </c>
      <c r="I52" s="387">
        <v>159</v>
      </c>
      <c r="J52" s="387" t="s">
        <v>834</v>
      </c>
      <c r="K52" s="169">
        <v>119000</v>
      </c>
      <c r="L52" s="391">
        <f t="shared" si="1"/>
        <v>0</v>
      </c>
      <c r="M52" s="385"/>
      <c r="N52" s="385"/>
    </row>
    <row r="53" spans="2:14" s="194" customFormat="1" ht="24" customHeight="1">
      <c r="B53" s="387" t="s">
        <v>750</v>
      </c>
      <c r="C53" s="387" t="s">
        <v>288</v>
      </c>
      <c r="D53" s="387" t="s">
        <v>718</v>
      </c>
      <c r="E53" s="387" t="s">
        <v>719</v>
      </c>
      <c r="F53" s="387" t="s">
        <v>169</v>
      </c>
      <c r="G53" s="387" t="s">
        <v>370</v>
      </c>
      <c r="H53" s="388">
        <v>33000</v>
      </c>
      <c r="I53" s="387">
        <v>161</v>
      </c>
      <c r="J53" s="387" t="s">
        <v>835</v>
      </c>
      <c r="K53" s="169">
        <v>33000</v>
      </c>
      <c r="L53" s="391">
        <f t="shared" si="1"/>
        <v>0</v>
      </c>
      <c r="M53" s="385"/>
      <c r="N53" s="385"/>
    </row>
    <row r="54" spans="2:14" s="194" customFormat="1" ht="24" customHeight="1">
      <c r="B54" s="387" t="s">
        <v>751</v>
      </c>
      <c r="C54" s="387" t="s">
        <v>288</v>
      </c>
      <c r="D54" s="387" t="s">
        <v>718</v>
      </c>
      <c r="E54" s="387" t="s">
        <v>719</v>
      </c>
      <c r="F54" s="387" t="s">
        <v>169</v>
      </c>
      <c r="G54" s="387" t="s">
        <v>370</v>
      </c>
      <c r="H54" s="388">
        <v>5000</v>
      </c>
      <c r="I54" s="387">
        <v>163</v>
      </c>
      <c r="J54" s="387" t="s">
        <v>836</v>
      </c>
      <c r="K54" s="169">
        <v>5000</v>
      </c>
      <c r="L54" s="391">
        <f t="shared" ref="L54:L80" si="2">H54-K54</f>
        <v>0</v>
      </c>
      <c r="M54" s="385"/>
      <c r="N54" s="385"/>
    </row>
    <row r="55" spans="2:14" s="194" customFormat="1" ht="24" customHeight="1">
      <c r="B55" s="387" t="s">
        <v>752</v>
      </c>
      <c r="C55" s="387" t="s">
        <v>288</v>
      </c>
      <c r="D55" s="387" t="s">
        <v>718</v>
      </c>
      <c r="E55" s="387" t="s">
        <v>719</v>
      </c>
      <c r="F55" s="387" t="s">
        <v>169</v>
      </c>
      <c r="G55" s="387" t="s">
        <v>370</v>
      </c>
      <c r="H55" s="388">
        <v>129750</v>
      </c>
      <c r="I55" s="387">
        <v>179</v>
      </c>
      <c r="J55" s="387" t="s">
        <v>841</v>
      </c>
      <c r="K55" s="169">
        <v>129750</v>
      </c>
      <c r="L55" s="391">
        <f t="shared" si="2"/>
        <v>0</v>
      </c>
      <c r="M55" s="385"/>
      <c r="N55" s="385"/>
    </row>
    <row r="56" spans="2:14" s="194" customFormat="1" ht="24" customHeight="1">
      <c r="B56" s="387" t="s">
        <v>753</v>
      </c>
      <c r="C56" s="387" t="s">
        <v>288</v>
      </c>
      <c r="D56" s="387" t="s">
        <v>718</v>
      </c>
      <c r="E56" s="387" t="s">
        <v>719</v>
      </c>
      <c r="F56" s="387" t="s">
        <v>169</v>
      </c>
      <c r="G56" s="387" t="s">
        <v>370</v>
      </c>
      <c r="H56" s="388">
        <v>221000</v>
      </c>
      <c r="I56" s="387">
        <v>181</v>
      </c>
      <c r="J56" s="387" t="s">
        <v>842</v>
      </c>
      <c r="K56" s="169">
        <v>221000</v>
      </c>
      <c r="L56" s="391">
        <f t="shared" si="2"/>
        <v>0</v>
      </c>
      <c r="M56" s="385"/>
      <c r="N56" s="385"/>
    </row>
    <row r="57" spans="2:14" s="194" customFormat="1" ht="24" customHeight="1">
      <c r="B57" s="387" t="s">
        <v>754</v>
      </c>
      <c r="C57" s="387" t="s">
        <v>288</v>
      </c>
      <c r="D57" s="387" t="s">
        <v>718</v>
      </c>
      <c r="E57" s="387" t="s">
        <v>719</v>
      </c>
      <c r="F57" s="387" t="s">
        <v>169</v>
      </c>
      <c r="G57" s="387" t="s">
        <v>370</v>
      </c>
      <c r="H57" s="388">
        <v>180750</v>
      </c>
      <c r="I57" s="387">
        <v>183</v>
      </c>
      <c r="J57" s="387" t="s">
        <v>843</v>
      </c>
      <c r="K57" s="169">
        <v>180750</v>
      </c>
      <c r="L57" s="391">
        <f t="shared" si="2"/>
        <v>0</v>
      </c>
      <c r="M57" s="385"/>
      <c r="N57" s="385"/>
    </row>
    <row r="58" spans="2:14" s="194" customFormat="1" ht="24" customHeight="1">
      <c r="B58" s="387" t="s">
        <v>755</v>
      </c>
      <c r="C58" s="387" t="s">
        <v>288</v>
      </c>
      <c r="D58" s="387" t="s">
        <v>718</v>
      </c>
      <c r="E58" s="387" t="s">
        <v>719</v>
      </c>
      <c r="F58" s="387" t="s">
        <v>169</v>
      </c>
      <c r="G58" s="387" t="s">
        <v>370</v>
      </c>
      <c r="H58" s="388">
        <v>8000</v>
      </c>
      <c r="I58" s="387">
        <v>189</v>
      </c>
      <c r="J58" s="387" t="s">
        <v>844</v>
      </c>
      <c r="K58" s="169">
        <v>8000</v>
      </c>
      <c r="L58" s="391">
        <f t="shared" si="2"/>
        <v>0</v>
      </c>
      <c r="M58" s="385"/>
      <c r="N58" s="385"/>
    </row>
    <row r="59" spans="2:14" s="194" customFormat="1" ht="24" customHeight="1">
      <c r="B59" s="387" t="s">
        <v>756</v>
      </c>
      <c r="C59" s="387" t="s">
        <v>288</v>
      </c>
      <c r="D59" s="387" t="s">
        <v>718</v>
      </c>
      <c r="E59" s="387" t="s">
        <v>719</v>
      </c>
      <c r="F59" s="387" t="s">
        <v>169</v>
      </c>
      <c r="G59" s="387" t="s">
        <v>370</v>
      </c>
      <c r="H59" s="388">
        <v>17000</v>
      </c>
      <c r="I59" s="387">
        <v>191</v>
      </c>
      <c r="J59" s="387" t="s">
        <v>845</v>
      </c>
      <c r="K59" s="169">
        <v>17000</v>
      </c>
      <c r="L59" s="391">
        <f t="shared" si="2"/>
        <v>0</v>
      </c>
      <c r="M59" s="385"/>
      <c r="N59" s="385"/>
    </row>
    <row r="60" spans="2:14" s="194" customFormat="1" ht="24" customHeight="1">
      <c r="B60" s="387" t="s">
        <v>757</v>
      </c>
      <c r="C60" s="387" t="s">
        <v>288</v>
      </c>
      <c r="D60" s="387" t="s">
        <v>718</v>
      </c>
      <c r="E60" s="387" t="s">
        <v>719</v>
      </c>
      <c r="F60" s="387" t="s">
        <v>169</v>
      </c>
      <c r="G60" s="387" t="s">
        <v>370</v>
      </c>
      <c r="H60" s="388">
        <v>7000</v>
      </c>
      <c r="I60" s="387">
        <v>193</v>
      </c>
      <c r="J60" s="387" t="s">
        <v>846</v>
      </c>
      <c r="K60" s="169">
        <v>7000</v>
      </c>
      <c r="L60" s="391">
        <f t="shared" si="2"/>
        <v>0</v>
      </c>
      <c r="M60" s="385"/>
      <c r="N60" s="385"/>
    </row>
    <row r="61" spans="2:14" s="194" customFormat="1" ht="24" customHeight="1">
      <c r="B61" s="387" t="s">
        <v>758</v>
      </c>
      <c r="C61" s="387" t="s">
        <v>288</v>
      </c>
      <c r="D61" s="387" t="s">
        <v>718</v>
      </c>
      <c r="E61" s="387" t="s">
        <v>719</v>
      </c>
      <c r="F61" s="387" t="s">
        <v>169</v>
      </c>
      <c r="G61" s="387" t="s">
        <v>370</v>
      </c>
      <c r="H61" s="388">
        <v>97625</v>
      </c>
      <c r="I61" s="387">
        <v>200</v>
      </c>
      <c r="J61" s="387" t="s">
        <v>847</v>
      </c>
      <c r="K61" s="169">
        <v>97625</v>
      </c>
      <c r="L61" s="391">
        <f t="shared" si="2"/>
        <v>0</v>
      </c>
      <c r="M61" s="385"/>
      <c r="N61" s="385"/>
    </row>
    <row r="62" spans="2:14" s="194" customFormat="1" ht="24" customHeight="1">
      <c r="B62" s="387" t="s">
        <v>759</v>
      </c>
      <c r="C62" s="387" t="s">
        <v>288</v>
      </c>
      <c r="D62" s="387" t="s">
        <v>718</v>
      </c>
      <c r="E62" s="387" t="s">
        <v>719</v>
      </c>
      <c r="F62" s="387" t="s">
        <v>169</v>
      </c>
      <c r="G62" s="387" t="s">
        <v>370</v>
      </c>
      <c r="H62" s="388">
        <v>71625</v>
      </c>
      <c r="I62" s="387">
        <v>202</v>
      </c>
      <c r="J62" s="387" t="s">
        <v>848</v>
      </c>
      <c r="K62" s="169">
        <v>71625</v>
      </c>
      <c r="L62" s="391">
        <f t="shared" si="2"/>
        <v>0</v>
      </c>
      <c r="M62" s="385"/>
      <c r="N62" s="385"/>
    </row>
    <row r="63" spans="2:14" s="194" customFormat="1" ht="24" customHeight="1">
      <c r="B63" s="387" t="s">
        <v>760</v>
      </c>
      <c r="C63" s="387" t="s">
        <v>288</v>
      </c>
      <c r="D63" s="387" t="s">
        <v>718</v>
      </c>
      <c r="E63" s="387" t="s">
        <v>719</v>
      </c>
      <c r="F63" s="387" t="s">
        <v>169</v>
      </c>
      <c r="G63" s="387" t="s">
        <v>370</v>
      </c>
      <c r="H63" s="388">
        <v>85500</v>
      </c>
      <c r="I63" s="387">
        <v>204</v>
      </c>
      <c r="J63" s="387" t="s">
        <v>849</v>
      </c>
      <c r="K63" s="169">
        <v>85500</v>
      </c>
      <c r="L63" s="391">
        <f t="shared" si="2"/>
        <v>0</v>
      </c>
      <c r="M63" s="385"/>
      <c r="N63" s="385"/>
    </row>
    <row r="64" spans="2:14" s="200" customFormat="1" ht="24" customHeight="1">
      <c r="B64" s="387" t="s">
        <v>761</v>
      </c>
      <c r="C64" s="387" t="s">
        <v>288</v>
      </c>
      <c r="D64" s="387" t="s">
        <v>718</v>
      </c>
      <c r="E64" s="387" t="s">
        <v>719</v>
      </c>
      <c r="F64" s="387" t="s">
        <v>169</v>
      </c>
      <c r="G64" s="387" t="s">
        <v>370</v>
      </c>
      <c r="H64" s="388">
        <v>125375</v>
      </c>
      <c r="I64" s="387">
        <v>206</v>
      </c>
      <c r="J64" s="387" t="s">
        <v>956</v>
      </c>
      <c r="K64" s="398">
        <v>125375</v>
      </c>
      <c r="L64" s="391">
        <f t="shared" si="2"/>
        <v>0</v>
      </c>
      <c r="M64" s="385"/>
      <c r="N64" s="385"/>
    </row>
    <row r="65" spans="2:17" s="200" customFormat="1" ht="24" customHeight="1">
      <c r="B65" s="387" t="s">
        <v>762</v>
      </c>
      <c r="C65" s="387" t="s">
        <v>288</v>
      </c>
      <c r="D65" s="387" t="s">
        <v>718</v>
      </c>
      <c r="E65" s="387" t="s">
        <v>719</v>
      </c>
      <c r="F65" s="387" t="s">
        <v>169</v>
      </c>
      <c r="G65" s="387" t="s">
        <v>370</v>
      </c>
      <c r="H65" s="388">
        <v>104500</v>
      </c>
      <c r="I65" s="387">
        <v>208</v>
      </c>
      <c r="J65" s="387" t="s">
        <v>956</v>
      </c>
      <c r="K65" s="398">
        <v>104500</v>
      </c>
      <c r="L65" s="391">
        <f t="shared" si="2"/>
        <v>0</v>
      </c>
      <c r="M65" s="385"/>
      <c r="N65" s="385"/>
    </row>
    <row r="66" spans="2:17" s="200" customFormat="1" ht="24" customHeight="1">
      <c r="B66" s="387" t="s">
        <v>763</v>
      </c>
      <c r="C66" s="387" t="s">
        <v>288</v>
      </c>
      <c r="D66" s="387" t="s">
        <v>718</v>
      </c>
      <c r="E66" s="387" t="s">
        <v>719</v>
      </c>
      <c r="F66" s="387" t="s">
        <v>169</v>
      </c>
      <c r="G66" s="387" t="s">
        <v>370</v>
      </c>
      <c r="H66" s="388">
        <v>99562.5</v>
      </c>
      <c r="I66" s="387">
        <v>210</v>
      </c>
      <c r="J66" s="387" t="s">
        <v>956</v>
      </c>
      <c r="K66" s="398">
        <v>99562.5</v>
      </c>
      <c r="L66" s="391">
        <f t="shared" si="2"/>
        <v>0</v>
      </c>
      <c r="M66" s="385"/>
      <c r="N66" s="385"/>
    </row>
    <row r="67" spans="2:17" s="200" customFormat="1" ht="24" customHeight="1">
      <c r="B67" s="387" t="s">
        <v>764</v>
      </c>
      <c r="C67" s="387" t="s">
        <v>288</v>
      </c>
      <c r="D67" s="387" t="s">
        <v>718</v>
      </c>
      <c r="E67" s="387" t="s">
        <v>719</v>
      </c>
      <c r="F67" s="387" t="s">
        <v>169</v>
      </c>
      <c r="G67" s="387" t="s">
        <v>370</v>
      </c>
      <c r="H67" s="388">
        <v>76275</v>
      </c>
      <c r="I67" s="387">
        <v>212</v>
      </c>
      <c r="J67" s="387" t="s">
        <v>956</v>
      </c>
      <c r="K67" s="398">
        <v>76275</v>
      </c>
      <c r="L67" s="391">
        <f t="shared" si="2"/>
        <v>0</v>
      </c>
      <c r="M67" s="385"/>
      <c r="N67" s="385"/>
    </row>
    <row r="68" spans="2:17" s="194" customFormat="1" ht="24" customHeight="1">
      <c r="B68" s="387" t="s">
        <v>765</v>
      </c>
      <c r="C68" s="387" t="s">
        <v>288</v>
      </c>
      <c r="D68" s="387" t="s">
        <v>718</v>
      </c>
      <c r="E68" s="387" t="s">
        <v>719</v>
      </c>
      <c r="F68" s="387" t="s">
        <v>169</v>
      </c>
      <c r="G68" s="387" t="s">
        <v>408</v>
      </c>
      <c r="H68" s="388">
        <v>141437.5</v>
      </c>
      <c r="I68" s="387">
        <v>220</v>
      </c>
      <c r="J68" s="387" t="s">
        <v>632</v>
      </c>
      <c r="K68" s="169">
        <v>141437.5</v>
      </c>
      <c r="L68" s="391">
        <f t="shared" si="2"/>
        <v>0</v>
      </c>
      <c r="M68" s="385"/>
      <c r="N68" s="385"/>
    </row>
    <row r="69" spans="2:17" s="194" customFormat="1" ht="24" customHeight="1">
      <c r="B69" s="387" t="s">
        <v>766</v>
      </c>
      <c r="C69" s="387" t="s">
        <v>288</v>
      </c>
      <c r="D69" s="387" t="s">
        <v>718</v>
      </c>
      <c r="E69" s="387" t="s">
        <v>719</v>
      </c>
      <c r="F69" s="387" t="s">
        <v>169</v>
      </c>
      <c r="G69" s="387" t="s">
        <v>408</v>
      </c>
      <c r="H69" s="388">
        <v>154375</v>
      </c>
      <c r="I69" s="387">
        <v>221</v>
      </c>
      <c r="J69" s="387" t="s">
        <v>633</v>
      </c>
      <c r="K69" s="169">
        <v>154375</v>
      </c>
      <c r="L69" s="391">
        <f t="shared" si="2"/>
        <v>0</v>
      </c>
      <c r="M69" s="385"/>
      <c r="N69" s="385"/>
    </row>
    <row r="70" spans="2:17" s="194" customFormat="1" ht="24" customHeight="1">
      <c r="B70" s="387" t="s">
        <v>767</v>
      </c>
      <c r="C70" s="387" t="s">
        <v>288</v>
      </c>
      <c r="D70" s="387" t="s">
        <v>718</v>
      </c>
      <c r="E70" s="387" t="s">
        <v>719</v>
      </c>
      <c r="F70" s="387" t="s">
        <v>169</v>
      </c>
      <c r="G70" s="387" t="s">
        <v>408</v>
      </c>
      <c r="H70" s="388">
        <v>88875</v>
      </c>
      <c r="I70" s="387">
        <v>230</v>
      </c>
      <c r="J70" s="387" t="s">
        <v>642</v>
      </c>
      <c r="K70" s="169">
        <v>88875</v>
      </c>
      <c r="L70" s="391">
        <f t="shared" si="2"/>
        <v>0</v>
      </c>
      <c r="M70" s="385"/>
      <c r="N70" s="385"/>
    </row>
    <row r="71" spans="2:17" s="194" customFormat="1" ht="24" customHeight="1">
      <c r="B71" s="387" t="s">
        <v>768</v>
      </c>
      <c r="C71" s="387" t="s">
        <v>288</v>
      </c>
      <c r="D71" s="387" t="s">
        <v>718</v>
      </c>
      <c r="E71" s="387" t="s">
        <v>719</v>
      </c>
      <c r="F71" s="387" t="s">
        <v>169</v>
      </c>
      <c r="G71" s="387" t="s">
        <v>408</v>
      </c>
      <c r="H71" s="388">
        <v>75125</v>
      </c>
      <c r="I71" s="387">
        <v>231</v>
      </c>
      <c r="J71" s="387" t="s">
        <v>643</v>
      </c>
      <c r="K71" s="169">
        <v>75125</v>
      </c>
      <c r="L71" s="391">
        <f t="shared" si="2"/>
        <v>0</v>
      </c>
      <c r="M71" s="385"/>
      <c r="N71" s="385"/>
    </row>
    <row r="72" spans="2:17" s="194" customFormat="1" ht="24" customHeight="1">
      <c r="B72" s="387" t="s">
        <v>769</v>
      </c>
      <c r="C72" s="387" t="s">
        <v>288</v>
      </c>
      <c r="D72" s="387" t="s">
        <v>718</v>
      </c>
      <c r="E72" s="387" t="s">
        <v>719</v>
      </c>
      <c r="F72" s="387" t="s">
        <v>169</v>
      </c>
      <c r="G72" s="387" t="s">
        <v>408</v>
      </c>
      <c r="H72" s="388">
        <v>66500</v>
      </c>
      <c r="I72" s="387">
        <v>239</v>
      </c>
      <c r="J72" s="387" t="s">
        <v>651</v>
      </c>
      <c r="K72" s="169">
        <v>66500</v>
      </c>
      <c r="L72" s="391">
        <f t="shared" si="2"/>
        <v>0</v>
      </c>
      <c r="M72" s="385"/>
      <c r="N72" s="385"/>
    </row>
    <row r="73" spans="2:17" s="194" customFormat="1" ht="24" customHeight="1">
      <c r="B73" s="387" t="s">
        <v>770</v>
      </c>
      <c r="C73" s="387" t="s">
        <v>288</v>
      </c>
      <c r="D73" s="387" t="s">
        <v>718</v>
      </c>
      <c r="E73" s="387" t="s">
        <v>719</v>
      </c>
      <c r="F73" s="387" t="s">
        <v>169</v>
      </c>
      <c r="G73" s="387" t="s">
        <v>408</v>
      </c>
      <c r="H73" s="388">
        <v>56875</v>
      </c>
      <c r="I73" s="387">
        <v>240</v>
      </c>
      <c r="J73" s="387" t="s">
        <v>652</v>
      </c>
      <c r="K73" s="169">
        <v>56875</v>
      </c>
      <c r="L73" s="391">
        <f t="shared" si="2"/>
        <v>0</v>
      </c>
      <c r="M73" s="385"/>
      <c r="N73" s="385"/>
    </row>
    <row r="74" spans="2:17" s="194" customFormat="1" ht="24" customHeight="1">
      <c r="B74" s="387" t="s">
        <v>771</v>
      </c>
      <c r="C74" s="387" t="s">
        <v>288</v>
      </c>
      <c r="D74" s="387" t="s">
        <v>718</v>
      </c>
      <c r="E74" s="387" t="s">
        <v>719</v>
      </c>
      <c r="F74" s="387" t="s">
        <v>169</v>
      </c>
      <c r="G74" s="387" t="s">
        <v>408</v>
      </c>
      <c r="H74" s="388">
        <v>89750</v>
      </c>
      <c r="I74" s="387">
        <v>241</v>
      </c>
      <c r="J74" s="387" t="s">
        <v>653</v>
      </c>
      <c r="K74" s="169">
        <v>89750</v>
      </c>
      <c r="L74" s="391">
        <f t="shared" si="2"/>
        <v>0</v>
      </c>
      <c r="M74" s="385"/>
      <c r="N74" s="385"/>
    </row>
    <row r="75" spans="2:17" s="194" customFormat="1" ht="24" customHeight="1">
      <c r="B75" s="387" t="s">
        <v>772</v>
      </c>
      <c r="C75" s="387" t="s">
        <v>288</v>
      </c>
      <c r="D75" s="387" t="s">
        <v>718</v>
      </c>
      <c r="E75" s="387" t="s">
        <v>719</v>
      </c>
      <c r="F75" s="387" t="s">
        <v>169</v>
      </c>
      <c r="G75" s="387" t="s">
        <v>408</v>
      </c>
      <c r="H75" s="388">
        <v>225625</v>
      </c>
      <c r="I75" s="387">
        <v>252</v>
      </c>
      <c r="J75" s="387" t="s">
        <v>664</v>
      </c>
      <c r="K75" s="169">
        <v>225625</v>
      </c>
      <c r="L75" s="391">
        <f t="shared" si="2"/>
        <v>0</v>
      </c>
      <c r="M75" s="385"/>
      <c r="N75" s="385"/>
      <c r="Q75" s="193"/>
    </row>
    <row r="76" spans="2:17" s="194" customFormat="1" ht="24" customHeight="1">
      <c r="B76" s="387" t="s">
        <v>773</v>
      </c>
      <c r="C76" s="387" t="s">
        <v>288</v>
      </c>
      <c r="D76" s="387" t="s">
        <v>718</v>
      </c>
      <c r="E76" s="387" t="s">
        <v>719</v>
      </c>
      <c r="F76" s="387" t="s">
        <v>169</v>
      </c>
      <c r="G76" s="387" t="s">
        <v>408</v>
      </c>
      <c r="H76" s="388">
        <v>212875</v>
      </c>
      <c r="I76" s="387">
        <v>254</v>
      </c>
      <c r="J76" s="387" t="s">
        <v>666</v>
      </c>
      <c r="K76" s="169">
        <v>212875</v>
      </c>
      <c r="L76" s="391">
        <f t="shared" si="2"/>
        <v>0</v>
      </c>
      <c r="M76" s="385"/>
      <c r="N76" s="385"/>
      <c r="Q76" s="193"/>
    </row>
    <row r="77" spans="2:17" s="199" customFormat="1" ht="24" customHeight="1">
      <c r="B77" s="387" t="s">
        <v>774</v>
      </c>
      <c r="C77" s="387" t="s">
        <v>288</v>
      </c>
      <c r="D77" s="387" t="s">
        <v>718</v>
      </c>
      <c r="E77" s="387" t="s">
        <v>719</v>
      </c>
      <c r="F77" s="387" t="s">
        <v>169</v>
      </c>
      <c r="G77" s="387" t="s">
        <v>408</v>
      </c>
      <c r="H77" s="388">
        <v>208000</v>
      </c>
      <c r="I77" s="387">
        <v>256</v>
      </c>
      <c r="J77" s="387" t="s">
        <v>957</v>
      </c>
      <c r="K77" s="398">
        <v>208000</v>
      </c>
      <c r="L77" s="391">
        <f t="shared" si="2"/>
        <v>0</v>
      </c>
      <c r="M77" s="385"/>
      <c r="N77" s="385"/>
    </row>
    <row r="78" spans="2:17" s="196" customFormat="1" ht="24" customHeight="1">
      <c r="B78" s="387" t="s">
        <v>775</v>
      </c>
      <c r="C78" s="387" t="s">
        <v>288</v>
      </c>
      <c r="D78" s="387" t="s">
        <v>718</v>
      </c>
      <c r="E78" s="387" t="s">
        <v>719</v>
      </c>
      <c r="F78" s="387" t="s">
        <v>169</v>
      </c>
      <c r="G78" s="387" t="s">
        <v>408</v>
      </c>
      <c r="H78" s="388">
        <v>284625</v>
      </c>
      <c r="I78" s="387">
        <v>258</v>
      </c>
      <c r="J78" s="387" t="s">
        <v>958</v>
      </c>
      <c r="K78" s="398">
        <v>284625</v>
      </c>
      <c r="L78" s="391">
        <f t="shared" si="2"/>
        <v>0</v>
      </c>
      <c r="M78" s="385"/>
      <c r="N78" s="385"/>
    </row>
    <row r="79" spans="2:17" s="194" customFormat="1" ht="24" customHeight="1">
      <c r="B79" s="387" t="s">
        <v>776</v>
      </c>
      <c r="C79" s="387" t="s">
        <v>288</v>
      </c>
      <c r="D79" s="387" t="s">
        <v>718</v>
      </c>
      <c r="E79" s="387" t="s">
        <v>719</v>
      </c>
      <c r="F79" s="387" t="s">
        <v>169</v>
      </c>
      <c r="G79" s="387" t="s">
        <v>408</v>
      </c>
      <c r="H79" s="388">
        <v>68125</v>
      </c>
      <c r="I79" s="387">
        <v>249</v>
      </c>
      <c r="J79" s="387" t="s">
        <v>661</v>
      </c>
      <c r="K79" s="169">
        <v>68125</v>
      </c>
      <c r="L79" s="391">
        <f t="shared" si="2"/>
        <v>0</v>
      </c>
      <c r="M79" s="385"/>
      <c r="N79" s="385"/>
    </row>
    <row r="80" spans="2:17" s="199" customFormat="1" ht="24" customHeight="1">
      <c r="B80" s="387" t="s">
        <v>777</v>
      </c>
      <c r="C80" s="387" t="s">
        <v>288</v>
      </c>
      <c r="D80" s="387" t="s">
        <v>718</v>
      </c>
      <c r="E80" s="387" t="s">
        <v>719</v>
      </c>
      <c r="F80" s="387" t="s">
        <v>169</v>
      </c>
      <c r="G80" s="387" t="s">
        <v>408</v>
      </c>
      <c r="H80" s="388">
        <v>277625</v>
      </c>
      <c r="I80" s="387">
        <v>260</v>
      </c>
      <c r="J80" s="387" t="s">
        <v>960</v>
      </c>
      <c r="K80" s="398">
        <v>277625</v>
      </c>
      <c r="L80" s="391">
        <f t="shared" si="2"/>
        <v>0</v>
      </c>
      <c r="M80" s="399">
        <v>23743</v>
      </c>
      <c r="N80" s="400">
        <v>149000</v>
      </c>
      <c r="O80" s="201" t="s">
        <v>962</v>
      </c>
    </row>
    <row r="81" spans="2:15" s="199" customFormat="1" ht="24" customHeight="1">
      <c r="B81" s="387"/>
      <c r="C81" s="387"/>
      <c r="D81" s="387"/>
      <c r="E81" s="387"/>
      <c r="F81" s="387"/>
      <c r="G81" s="387"/>
      <c r="H81" s="388"/>
      <c r="I81" s="387"/>
      <c r="J81" s="387"/>
      <c r="K81" s="398"/>
      <c r="L81" s="391"/>
      <c r="M81" s="401" t="s">
        <v>961</v>
      </c>
      <c r="N81" s="400">
        <v>128625</v>
      </c>
      <c r="O81" s="201" t="s">
        <v>963</v>
      </c>
    </row>
    <row r="82" spans="2:15" s="194" customFormat="1" ht="24" customHeight="1">
      <c r="B82" s="387" t="s">
        <v>778</v>
      </c>
      <c r="C82" s="387" t="s">
        <v>288</v>
      </c>
      <c r="D82" s="387" t="s">
        <v>718</v>
      </c>
      <c r="E82" s="387" t="s">
        <v>719</v>
      </c>
      <c r="F82" s="387" t="s">
        <v>169</v>
      </c>
      <c r="G82" s="387" t="s">
        <v>408</v>
      </c>
      <c r="H82" s="388">
        <v>62750</v>
      </c>
      <c r="I82" s="387">
        <v>250</v>
      </c>
      <c r="J82" s="387" t="s">
        <v>662</v>
      </c>
      <c r="K82" s="169">
        <v>62750</v>
      </c>
      <c r="L82" s="391">
        <f t="shared" ref="L82:L110" si="3">H82-K82</f>
        <v>0</v>
      </c>
      <c r="M82" s="385"/>
      <c r="N82" s="385"/>
    </row>
    <row r="83" spans="2:15" s="199" customFormat="1" ht="24" customHeight="1">
      <c r="B83" s="387" t="s">
        <v>779</v>
      </c>
      <c r="C83" s="387" t="s">
        <v>288</v>
      </c>
      <c r="D83" s="387" t="s">
        <v>718</v>
      </c>
      <c r="E83" s="387" t="s">
        <v>719</v>
      </c>
      <c r="F83" s="387" t="s">
        <v>169</v>
      </c>
      <c r="G83" s="387" t="s">
        <v>408</v>
      </c>
      <c r="H83" s="388">
        <v>227000</v>
      </c>
      <c r="I83" s="387">
        <v>262</v>
      </c>
      <c r="J83" s="387" t="s">
        <v>957</v>
      </c>
      <c r="K83" s="398">
        <v>227000</v>
      </c>
      <c r="L83" s="391">
        <f t="shared" si="3"/>
        <v>0</v>
      </c>
      <c r="M83" s="402"/>
      <c r="N83" s="402"/>
      <c r="O83" s="201"/>
    </row>
    <row r="84" spans="2:15" s="196" customFormat="1" ht="24" customHeight="1">
      <c r="B84" s="387" t="s">
        <v>780</v>
      </c>
      <c r="C84" s="387" t="s">
        <v>288</v>
      </c>
      <c r="D84" s="387" t="s">
        <v>718</v>
      </c>
      <c r="E84" s="387" t="s">
        <v>719</v>
      </c>
      <c r="F84" s="387" t="s">
        <v>169</v>
      </c>
      <c r="G84" s="387" t="s">
        <v>408</v>
      </c>
      <c r="H84" s="388">
        <v>219750</v>
      </c>
      <c r="I84" s="387">
        <v>264</v>
      </c>
      <c r="J84" s="387" t="s">
        <v>959</v>
      </c>
      <c r="K84" s="398">
        <v>219750</v>
      </c>
      <c r="L84" s="391">
        <f t="shared" si="3"/>
        <v>0</v>
      </c>
      <c r="M84" s="403">
        <v>23802</v>
      </c>
      <c r="N84" s="402">
        <v>171500</v>
      </c>
      <c r="O84" s="197"/>
    </row>
    <row r="85" spans="2:15" s="194" customFormat="1" ht="24" customHeight="1">
      <c r="B85" s="387" t="s">
        <v>781</v>
      </c>
      <c r="C85" s="387" t="s">
        <v>288</v>
      </c>
      <c r="D85" s="387" t="s">
        <v>718</v>
      </c>
      <c r="E85" s="387" t="s">
        <v>719</v>
      </c>
      <c r="F85" s="387" t="s">
        <v>169</v>
      </c>
      <c r="G85" s="387" t="s">
        <v>408</v>
      </c>
      <c r="H85" s="388">
        <v>80250</v>
      </c>
      <c r="I85" s="387">
        <v>266</v>
      </c>
      <c r="J85" s="387" t="s">
        <v>673</v>
      </c>
      <c r="K85" s="169">
        <v>80250</v>
      </c>
      <c r="L85" s="391">
        <f t="shared" si="3"/>
        <v>0</v>
      </c>
      <c r="M85" s="403">
        <v>38749</v>
      </c>
      <c r="N85" s="402">
        <v>48250</v>
      </c>
      <c r="O85" s="198"/>
    </row>
    <row r="86" spans="2:15" ht="24" customHeight="1">
      <c r="B86" s="387" t="s">
        <v>782</v>
      </c>
      <c r="C86" s="387" t="s">
        <v>288</v>
      </c>
      <c r="D86" s="387" t="s">
        <v>718</v>
      </c>
      <c r="E86" s="387" t="s">
        <v>719</v>
      </c>
      <c r="F86" s="387" t="s">
        <v>169</v>
      </c>
      <c r="G86" s="387" t="s">
        <v>408</v>
      </c>
      <c r="H86" s="388">
        <v>316375</v>
      </c>
      <c r="I86" s="387">
        <v>268</v>
      </c>
      <c r="J86" s="387" t="s">
        <v>675</v>
      </c>
      <c r="K86" s="169">
        <v>316375</v>
      </c>
      <c r="L86" s="391">
        <f t="shared" si="3"/>
        <v>0</v>
      </c>
      <c r="M86" s="385"/>
      <c r="N86" s="385"/>
    </row>
    <row r="87" spans="2:15" ht="24" customHeight="1">
      <c r="B87" s="387" t="s">
        <v>783</v>
      </c>
      <c r="C87" s="387" t="s">
        <v>288</v>
      </c>
      <c r="D87" s="387" t="s">
        <v>718</v>
      </c>
      <c r="E87" s="387" t="s">
        <v>719</v>
      </c>
      <c r="F87" s="387" t="s">
        <v>169</v>
      </c>
      <c r="G87" s="387" t="s">
        <v>408</v>
      </c>
      <c r="H87" s="388">
        <v>258250</v>
      </c>
      <c r="I87" s="387">
        <v>270</v>
      </c>
      <c r="J87" s="387" t="s">
        <v>677</v>
      </c>
      <c r="K87" s="169">
        <v>258250</v>
      </c>
      <c r="L87" s="391">
        <f t="shared" si="3"/>
        <v>0</v>
      </c>
      <c r="M87" s="385"/>
      <c r="N87" s="385"/>
    </row>
    <row r="88" spans="2:15" s="194" customFormat="1" ht="24" customHeight="1">
      <c r="B88" s="387" t="s">
        <v>784</v>
      </c>
      <c r="C88" s="387" t="s">
        <v>288</v>
      </c>
      <c r="D88" s="387" t="s">
        <v>718</v>
      </c>
      <c r="E88" s="387" t="s">
        <v>719</v>
      </c>
      <c r="F88" s="387" t="s">
        <v>169</v>
      </c>
      <c r="G88" s="387" t="s">
        <v>408</v>
      </c>
      <c r="H88" s="388">
        <v>7000</v>
      </c>
      <c r="I88" s="387">
        <v>284</v>
      </c>
      <c r="J88" s="387" t="s">
        <v>691</v>
      </c>
      <c r="K88" s="169">
        <v>7000</v>
      </c>
      <c r="L88" s="391">
        <f t="shared" si="3"/>
        <v>0</v>
      </c>
      <c r="M88" s="385"/>
      <c r="N88" s="385"/>
    </row>
    <row r="89" spans="2:15" s="194" customFormat="1" ht="24" customHeight="1">
      <c r="B89" s="387" t="s">
        <v>785</v>
      </c>
      <c r="C89" s="387" t="s">
        <v>288</v>
      </c>
      <c r="D89" s="387" t="s">
        <v>718</v>
      </c>
      <c r="E89" s="387" t="s">
        <v>719</v>
      </c>
      <c r="F89" s="387" t="s">
        <v>169</v>
      </c>
      <c r="G89" s="387" t="s">
        <v>408</v>
      </c>
      <c r="H89" s="388">
        <v>254500</v>
      </c>
      <c r="I89" s="387">
        <v>285</v>
      </c>
      <c r="J89" s="387" t="s">
        <v>692</v>
      </c>
      <c r="K89" s="169">
        <v>254500</v>
      </c>
      <c r="L89" s="391">
        <f t="shared" si="3"/>
        <v>0</v>
      </c>
      <c r="M89" s="385"/>
      <c r="N89" s="385"/>
    </row>
    <row r="90" spans="2:15" s="194" customFormat="1" ht="24" customHeight="1">
      <c r="B90" s="387" t="s">
        <v>786</v>
      </c>
      <c r="C90" s="387" t="s">
        <v>288</v>
      </c>
      <c r="D90" s="387" t="s">
        <v>718</v>
      </c>
      <c r="E90" s="387" t="s">
        <v>719</v>
      </c>
      <c r="F90" s="387" t="s">
        <v>169</v>
      </c>
      <c r="G90" s="387" t="s">
        <v>408</v>
      </c>
      <c r="H90" s="388">
        <v>296125</v>
      </c>
      <c r="I90" s="387">
        <v>286</v>
      </c>
      <c r="J90" s="387" t="s">
        <v>693</v>
      </c>
      <c r="K90" s="169">
        <v>296125</v>
      </c>
      <c r="L90" s="391">
        <f t="shared" si="3"/>
        <v>0</v>
      </c>
      <c r="M90" s="385"/>
      <c r="N90" s="385"/>
    </row>
    <row r="91" spans="2:15" s="194" customFormat="1" ht="24" customHeight="1">
      <c r="B91" s="387" t="s">
        <v>787</v>
      </c>
      <c r="C91" s="387" t="s">
        <v>288</v>
      </c>
      <c r="D91" s="387" t="s">
        <v>718</v>
      </c>
      <c r="E91" s="387" t="s">
        <v>719</v>
      </c>
      <c r="F91" s="387" t="s">
        <v>169</v>
      </c>
      <c r="G91" s="387" t="s">
        <v>461</v>
      </c>
      <c r="H91" s="388">
        <v>15000</v>
      </c>
      <c r="I91" s="387">
        <v>288</v>
      </c>
      <c r="J91" s="387" t="s">
        <v>695</v>
      </c>
      <c r="K91" s="169">
        <v>15000</v>
      </c>
      <c r="L91" s="391">
        <f t="shared" si="3"/>
        <v>0</v>
      </c>
      <c r="M91" s="385"/>
      <c r="N91" s="385"/>
    </row>
    <row r="92" spans="2:15" s="194" customFormat="1" ht="24" customHeight="1">
      <c r="B92" s="387" t="s">
        <v>788</v>
      </c>
      <c r="C92" s="387" t="s">
        <v>288</v>
      </c>
      <c r="D92" s="387" t="s">
        <v>718</v>
      </c>
      <c r="E92" s="387" t="s">
        <v>719</v>
      </c>
      <c r="F92" s="387" t="s">
        <v>169</v>
      </c>
      <c r="G92" s="387" t="s">
        <v>461</v>
      </c>
      <c r="H92" s="388">
        <v>26500</v>
      </c>
      <c r="I92" s="387">
        <v>290</v>
      </c>
      <c r="J92" s="387" t="s">
        <v>697</v>
      </c>
      <c r="K92" s="169">
        <v>26500</v>
      </c>
      <c r="L92" s="391">
        <f t="shared" si="3"/>
        <v>0</v>
      </c>
      <c r="M92" s="385"/>
      <c r="N92" s="385"/>
    </row>
    <row r="93" spans="2:15" s="194" customFormat="1" ht="24" customHeight="1">
      <c r="B93" s="387" t="s">
        <v>789</v>
      </c>
      <c r="C93" s="387" t="s">
        <v>288</v>
      </c>
      <c r="D93" s="387" t="s">
        <v>718</v>
      </c>
      <c r="E93" s="387" t="s">
        <v>719</v>
      </c>
      <c r="F93" s="387" t="s">
        <v>169</v>
      </c>
      <c r="G93" s="387" t="s">
        <v>461</v>
      </c>
      <c r="H93" s="388">
        <v>39000</v>
      </c>
      <c r="I93" s="387">
        <v>292</v>
      </c>
      <c r="J93" s="387" t="s">
        <v>699</v>
      </c>
      <c r="K93" s="169">
        <v>39000</v>
      </c>
      <c r="L93" s="391">
        <f t="shared" si="3"/>
        <v>0</v>
      </c>
      <c r="M93" s="385"/>
      <c r="N93" s="385"/>
    </row>
    <row r="94" spans="2:15" s="194" customFormat="1" ht="24" customHeight="1">
      <c r="B94" s="387" t="s">
        <v>790</v>
      </c>
      <c r="C94" s="387" t="s">
        <v>288</v>
      </c>
      <c r="D94" s="387" t="s">
        <v>718</v>
      </c>
      <c r="E94" s="387" t="s">
        <v>719</v>
      </c>
      <c r="F94" s="387" t="s">
        <v>169</v>
      </c>
      <c r="G94" s="387" t="s">
        <v>461</v>
      </c>
      <c r="H94" s="388">
        <v>1242340</v>
      </c>
      <c r="I94" s="387">
        <v>308</v>
      </c>
      <c r="J94" s="387" t="s">
        <v>715</v>
      </c>
      <c r="K94" s="169">
        <v>1242340</v>
      </c>
      <c r="L94" s="391">
        <f t="shared" si="3"/>
        <v>0</v>
      </c>
      <c r="M94" s="385"/>
      <c r="N94" s="385"/>
    </row>
    <row r="95" spans="2:15" s="194" customFormat="1" ht="24" customHeight="1">
      <c r="B95" s="387" t="s">
        <v>791</v>
      </c>
      <c r="C95" s="387" t="s">
        <v>288</v>
      </c>
      <c r="D95" s="387" t="s">
        <v>718</v>
      </c>
      <c r="E95" s="387" t="s">
        <v>719</v>
      </c>
      <c r="F95" s="387" t="s">
        <v>169</v>
      </c>
      <c r="G95" s="387" t="s">
        <v>461</v>
      </c>
      <c r="H95" s="388">
        <v>55000</v>
      </c>
      <c r="I95" s="387">
        <v>294</v>
      </c>
      <c r="J95" s="387" t="s">
        <v>701</v>
      </c>
      <c r="K95" s="169">
        <v>55000</v>
      </c>
      <c r="L95" s="391">
        <f t="shared" si="3"/>
        <v>0</v>
      </c>
      <c r="M95" s="385"/>
      <c r="N95" s="385"/>
    </row>
    <row r="96" spans="2:15" s="194" customFormat="1" ht="24" customHeight="1">
      <c r="B96" s="387" t="s">
        <v>792</v>
      </c>
      <c r="C96" s="387" t="s">
        <v>288</v>
      </c>
      <c r="D96" s="387" t="s">
        <v>718</v>
      </c>
      <c r="E96" s="387" t="s">
        <v>719</v>
      </c>
      <c r="F96" s="387" t="s">
        <v>169</v>
      </c>
      <c r="G96" s="387" t="s">
        <v>461</v>
      </c>
      <c r="H96" s="388">
        <v>1272475</v>
      </c>
      <c r="I96" s="404">
        <v>309</v>
      </c>
      <c r="J96" s="387" t="s">
        <v>850</v>
      </c>
      <c r="K96" s="169">
        <v>1272475</v>
      </c>
      <c r="L96" s="391">
        <f t="shared" si="3"/>
        <v>0</v>
      </c>
      <c r="M96" s="385"/>
      <c r="N96" s="385"/>
    </row>
    <row r="97" spans="2:14" s="194" customFormat="1" ht="24" customHeight="1">
      <c r="B97" s="387" t="s">
        <v>793</v>
      </c>
      <c r="C97" s="387" t="s">
        <v>288</v>
      </c>
      <c r="D97" s="387" t="s">
        <v>718</v>
      </c>
      <c r="E97" s="387" t="s">
        <v>719</v>
      </c>
      <c r="F97" s="387" t="s">
        <v>169</v>
      </c>
      <c r="G97" s="387" t="s">
        <v>461</v>
      </c>
      <c r="H97" s="388">
        <v>63500</v>
      </c>
      <c r="I97" s="387">
        <v>296</v>
      </c>
      <c r="J97" s="387" t="s">
        <v>703</v>
      </c>
      <c r="K97" s="169">
        <v>63500</v>
      </c>
      <c r="L97" s="391">
        <f t="shared" si="3"/>
        <v>0</v>
      </c>
      <c r="M97" s="385"/>
      <c r="N97" s="385"/>
    </row>
    <row r="98" spans="2:14" s="194" customFormat="1" ht="24" customHeight="1">
      <c r="B98" s="387" t="s">
        <v>794</v>
      </c>
      <c r="C98" s="387" t="s">
        <v>288</v>
      </c>
      <c r="D98" s="387" t="s">
        <v>718</v>
      </c>
      <c r="E98" s="387" t="s">
        <v>719</v>
      </c>
      <c r="F98" s="387" t="s">
        <v>169</v>
      </c>
      <c r="G98" s="387" t="s">
        <v>461</v>
      </c>
      <c r="H98" s="388">
        <v>56000</v>
      </c>
      <c r="I98" s="387">
        <v>298</v>
      </c>
      <c r="J98" s="387" t="s">
        <v>705</v>
      </c>
      <c r="K98" s="169">
        <v>56000</v>
      </c>
      <c r="L98" s="391">
        <f t="shared" si="3"/>
        <v>0</v>
      </c>
      <c r="M98" s="385"/>
      <c r="N98" s="385"/>
    </row>
    <row r="99" spans="2:14" s="194" customFormat="1" ht="24" customHeight="1">
      <c r="B99" s="387" t="s">
        <v>795</v>
      </c>
      <c r="C99" s="387" t="s">
        <v>288</v>
      </c>
      <c r="D99" s="387" t="s">
        <v>718</v>
      </c>
      <c r="E99" s="387" t="s">
        <v>719</v>
      </c>
      <c r="F99" s="387" t="s">
        <v>169</v>
      </c>
      <c r="G99" s="387" t="s">
        <v>461</v>
      </c>
      <c r="H99" s="388">
        <v>44000</v>
      </c>
      <c r="I99" s="387">
        <v>300</v>
      </c>
      <c r="J99" s="387" t="s">
        <v>707</v>
      </c>
      <c r="K99" s="169">
        <v>44000</v>
      </c>
      <c r="L99" s="391">
        <f t="shared" si="3"/>
        <v>0</v>
      </c>
      <c r="M99" s="385"/>
      <c r="N99" s="385"/>
    </row>
    <row r="100" spans="2:14" s="194" customFormat="1" ht="24" customHeight="1">
      <c r="B100" s="387" t="s">
        <v>796</v>
      </c>
      <c r="C100" s="387" t="s">
        <v>288</v>
      </c>
      <c r="D100" s="387" t="s">
        <v>718</v>
      </c>
      <c r="E100" s="387" t="s">
        <v>719</v>
      </c>
      <c r="F100" s="387" t="s">
        <v>169</v>
      </c>
      <c r="G100" s="387" t="s">
        <v>302</v>
      </c>
      <c r="H100" s="388">
        <v>10250</v>
      </c>
      <c r="I100" s="387">
        <v>321</v>
      </c>
      <c r="J100" s="387" t="s">
        <v>851</v>
      </c>
      <c r="K100" s="169">
        <v>10250</v>
      </c>
      <c r="L100" s="391">
        <f t="shared" si="3"/>
        <v>0</v>
      </c>
      <c r="M100" s="385"/>
      <c r="N100" s="385"/>
    </row>
    <row r="101" spans="2:14" s="194" customFormat="1" ht="24" customHeight="1">
      <c r="B101" s="387" t="s">
        <v>797</v>
      </c>
      <c r="C101" s="387" t="s">
        <v>288</v>
      </c>
      <c r="D101" s="387" t="s">
        <v>718</v>
      </c>
      <c r="E101" s="387" t="s">
        <v>719</v>
      </c>
      <c r="F101" s="387" t="s">
        <v>169</v>
      </c>
      <c r="G101" s="387" t="s">
        <v>302</v>
      </c>
      <c r="H101" s="388">
        <v>128750</v>
      </c>
      <c r="I101" s="387">
        <v>322</v>
      </c>
      <c r="J101" s="387" t="s">
        <v>852</v>
      </c>
      <c r="K101" s="169">
        <v>128750</v>
      </c>
      <c r="L101" s="391">
        <f t="shared" si="3"/>
        <v>0</v>
      </c>
      <c r="M101" s="385"/>
      <c r="N101" s="385"/>
    </row>
    <row r="102" spans="2:14" s="194" customFormat="1" ht="24" customHeight="1">
      <c r="B102" s="387" t="s">
        <v>798</v>
      </c>
      <c r="C102" s="387" t="s">
        <v>288</v>
      </c>
      <c r="D102" s="387" t="s">
        <v>718</v>
      </c>
      <c r="E102" s="387" t="s">
        <v>719</v>
      </c>
      <c r="F102" s="387" t="s">
        <v>169</v>
      </c>
      <c r="G102" s="387" t="s">
        <v>302</v>
      </c>
      <c r="H102" s="388">
        <v>6750</v>
      </c>
      <c r="I102" s="387">
        <v>327</v>
      </c>
      <c r="J102" s="387" t="s">
        <v>853</v>
      </c>
      <c r="K102" s="169">
        <v>6750</v>
      </c>
      <c r="L102" s="391">
        <f t="shared" si="3"/>
        <v>0</v>
      </c>
      <c r="M102" s="385"/>
      <c r="N102" s="385"/>
    </row>
    <row r="103" spans="2:14" s="194" customFormat="1" ht="24" customHeight="1">
      <c r="B103" s="387" t="s">
        <v>799</v>
      </c>
      <c r="C103" s="387" t="s">
        <v>288</v>
      </c>
      <c r="D103" s="387" t="s">
        <v>718</v>
      </c>
      <c r="E103" s="387" t="s">
        <v>719</v>
      </c>
      <c r="F103" s="387" t="s">
        <v>169</v>
      </c>
      <c r="G103" s="387" t="s">
        <v>302</v>
      </c>
      <c r="H103" s="388">
        <v>7000</v>
      </c>
      <c r="I103" s="387">
        <v>328</v>
      </c>
      <c r="J103" s="387" t="s">
        <v>854</v>
      </c>
      <c r="K103" s="169">
        <v>7000</v>
      </c>
      <c r="L103" s="391">
        <f t="shared" si="3"/>
        <v>0</v>
      </c>
      <c r="M103" s="385"/>
      <c r="N103" s="385"/>
    </row>
    <row r="104" spans="2:14" s="194" customFormat="1" ht="24" customHeight="1">
      <c r="B104" s="387" t="s">
        <v>800</v>
      </c>
      <c r="C104" s="387" t="s">
        <v>288</v>
      </c>
      <c r="D104" s="387" t="s">
        <v>718</v>
      </c>
      <c r="E104" s="387" t="s">
        <v>719</v>
      </c>
      <c r="F104" s="387" t="s">
        <v>169</v>
      </c>
      <c r="G104" s="387" t="s">
        <v>510</v>
      </c>
      <c r="H104" s="388">
        <v>403625</v>
      </c>
      <c r="I104" s="387">
        <v>358</v>
      </c>
      <c r="J104" s="387" t="s">
        <v>855</v>
      </c>
      <c r="K104" s="169">
        <v>403625</v>
      </c>
      <c r="L104" s="391">
        <f t="shared" si="3"/>
        <v>0</v>
      </c>
      <c r="M104" s="385"/>
      <c r="N104" s="385"/>
    </row>
    <row r="105" spans="2:14" s="200" customFormat="1" ht="24" customHeight="1">
      <c r="B105" s="387" t="s">
        <v>801</v>
      </c>
      <c r="C105" s="387" t="s">
        <v>288</v>
      </c>
      <c r="D105" s="387" t="s">
        <v>718</v>
      </c>
      <c r="E105" s="387" t="s">
        <v>719</v>
      </c>
      <c r="F105" s="387" t="s">
        <v>169</v>
      </c>
      <c r="G105" s="387" t="s">
        <v>510</v>
      </c>
      <c r="H105" s="388">
        <v>54037.5</v>
      </c>
      <c r="I105" s="387">
        <v>359</v>
      </c>
      <c r="J105" s="387" t="s">
        <v>856</v>
      </c>
      <c r="K105" s="169">
        <v>54037.5</v>
      </c>
      <c r="L105" s="391">
        <f t="shared" si="3"/>
        <v>0</v>
      </c>
      <c r="M105" s="385"/>
      <c r="N105" s="385"/>
    </row>
    <row r="106" spans="2:14" s="167" customFormat="1" ht="24" customHeight="1">
      <c r="B106" s="387" t="s">
        <v>802</v>
      </c>
      <c r="C106" s="387" t="s">
        <v>288</v>
      </c>
      <c r="D106" s="387" t="s">
        <v>718</v>
      </c>
      <c r="E106" s="387" t="s">
        <v>719</v>
      </c>
      <c r="F106" s="387" t="s">
        <v>169</v>
      </c>
      <c r="G106" s="387" t="s">
        <v>803</v>
      </c>
      <c r="H106" s="388">
        <v>39125</v>
      </c>
      <c r="I106" s="387">
        <v>373</v>
      </c>
      <c r="J106" s="387" t="s">
        <v>529</v>
      </c>
      <c r="K106" s="169">
        <v>39125</v>
      </c>
      <c r="L106" s="385">
        <f t="shared" si="3"/>
        <v>0</v>
      </c>
      <c r="M106" s="385"/>
      <c r="N106" s="385"/>
    </row>
    <row r="107" spans="2:14" s="194" customFormat="1" ht="24" customHeight="1">
      <c r="B107" s="387" t="s">
        <v>804</v>
      </c>
      <c r="C107" s="387" t="s">
        <v>288</v>
      </c>
      <c r="D107" s="387" t="s">
        <v>718</v>
      </c>
      <c r="E107" s="387" t="s">
        <v>719</v>
      </c>
      <c r="F107" s="387" t="s">
        <v>169</v>
      </c>
      <c r="G107" s="387" t="s">
        <v>803</v>
      </c>
      <c r="H107" s="388">
        <v>5500</v>
      </c>
      <c r="I107" s="387">
        <v>374</v>
      </c>
      <c r="J107" s="387" t="s">
        <v>857</v>
      </c>
      <c r="K107" s="169">
        <v>5500</v>
      </c>
      <c r="L107" s="385">
        <f t="shared" si="3"/>
        <v>0</v>
      </c>
      <c r="M107" s="385"/>
      <c r="N107" s="385"/>
    </row>
    <row r="108" spans="2:14" s="194" customFormat="1" ht="24" customHeight="1">
      <c r="B108" s="387" t="s">
        <v>805</v>
      </c>
      <c r="C108" s="387" t="s">
        <v>288</v>
      </c>
      <c r="D108" s="387" t="s">
        <v>718</v>
      </c>
      <c r="E108" s="387" t="s">
        <v>719</v>
      </c>
      <c r="F108" s="387" t="s">
        <v>169</v>
      </c>
      <c r="G108" s="387" t="s">
        <v>803</v>
      </c>
      <c r="H108" s="388">
        <v>27500</v>
      </c>
      <c r="I108" s="387">
        <v>375</v>
      </c>
      <c r="J108" s="387" t="s">
        <v>858</v>
      </c>
      <c r="K108" s="169">
        <v>27500</v>
      </c>
      <c r="L108" s="385">
        <f t="shared" si="3"/>
        <v>0</v>
      </c>
      <c r="M108" s="385"/>
      <c r="N108" s="385"/>
    </row>
    <row r="109" spans="2:14" s="167" customFormat="1" ht="24" customHeight="1">
      <c r="B109" s="387" t="s">
        <v>806</v>
      </c>
      <c r="C109" s="387" t="s">
        <v>288</v>
      </c>
      <c r="D109" s="387" t="s">
        <v>718</v>
      </c>
      <c r="E109" s="387" t="s">
        <v>719</v>
      </c>
      <c r="F109" s="387" t="s">
        <v>169</v>
      </c>
      <c r="G109" s="387" t="s">
        <v>297</v>
      </c>
      <c r="H109" s="388">
        <v>-15500</v>
      </c>
      <c r="I109" s="387">
        <v>120</v>
      </c>
      <c r="J109" s="387" t="s">
        <v>529</v>
      </c>
      <c r="K109" s="169">
        <v>-15500</v>
      </c>
      <c r="L109" s="385">
        <f t="shared" si="3"/>
        <v>0</v>
      </c>
      <c r="M109" s="385"/>
      <c r="N109" s="385"/>
    </row>
    <row r="110" spans="2:14" s="167" customFormat="1" ht="24" customHeight="1">
      <c r="B110" s="387" t="s">
        <v>807</v>
      </c>
      <c r="C110" s="387" t="s">
        <v>288</v>
      </c>
      <c r="D110" s="387" t="s">
        <v>718</v>
      </c>
      <c r="E110" s="387" t="s">
        <v>719</v>
      </c>
      <c r="F110" s="387" t="s">
        <v>169</v>
      </c>
      <c r="G110" s="387" t="s">
        <v>808</v>
      </c>
      <c r="H110" s="388">
        <v>-39125</v>
      </c>
      <c r="I110" s="387">
        <v>373</v>
      </c>
      <c r="J110" s="387" t="s">
        <v>529</v>
      </c>
      <c r="K110" s="169">
        <v>-39125</v>
      </c>
      <c r="L110" s="385">
        <f t="shared" si="3"/>
        <v>0</v>
      </c>
      <c r="M110" s="385"/>
      <c r="N110" s="385"/>
    </row>
    <row r="111" spans="2:14" ht="24" customHeight="1">
      <c r="B111" s="387" t="s">
        <v>920</v>
      </c>
      <c r="C111" s="387"/>
      <c r="D111" s="387"/>
      <c r="E111" s="387" t="s">
        <v>719</v>
      </c>
      <c r="F111" s="387" t="s">
        <v>169</v>
      </c>
      <c r="G111" s="387" t="s">
        <v>808</v>
      </c>
      <c r="H111" s="388">
        <v>26000</v>
      </c>
      <c r="I111" s="387">
        <v>377</v>
      </c>
      <c r="J111" s="387" t="s">
        <v>966</v>
      </c>
      <c r="K111" s="169">
        <v>26000</v>
      </c>
      <c r="L111" s="385"/>
      <c r="M111" s="385"/>
      <c r="N111" s="385"/>
    </row>
    <row r="112" spans="2:14" ht="24" customHeight="1">
      <c r="B112" s="387" t="s">
        <v>921</v>
      </c>
      <c r="C112" s="387"/>
      <c r="D112" s="387"/>
      <c r="E112" s="387" t="s">
        <v>719</v>
      </c>
      <c r="F112" s="387" t="s">
        <v>169</v>
      </c>
      <c r="G112" s="387" t="s">
        <v>808</v>
      </c>
      <c r="H112" s="388">
        <v>14000</v>
      </c>
      <c r="I112" s="387">
        <v>376</v>
      </c>
      <c r="J112" s="387" t="s">
        <v>965</v>
      </c>
      <c r="K112" s="169">
        <v>14000</v>
      </c>
      <c r="L112" s="385"/>
      <c r="M112" s="385"/>
      <c r="N112" s="385"/>
    </row>
    <row r="113" spans="2:14" ht="24" customHeight="1">
      <c r="B113" s="387" t="s">
        <v>922</v>
      </c>
      <c r="C113" s="387"/>
      <c r="D113" s="387"/>
      <c r="E113" s="387" t="s">
        <v>719</v>
      </c>
      <c r="F113" s="387" t="s">
        <v>169</v>
      </c>
      <c r="G113" s="387" t="s">
        <v>808</v>
      </c>
      <c r="H113" s="388">
        <v>23500</v>
      </c>
      <c r="I113" s="387">
        <v>378</v>
      </c>
      <c r="J113" s="387" t="s">
        <v>964</v>
      </c>
      <c r="K113" s="169">
        <v>23500</v>
      </c>
      <c r="L113" s="385"/>
      <c r="M113" s="385"/>
      <c r="N113" s="385"/>
    </row>
    <row r="114" spans="2:14" ht="24" customHeight="1">
      <c r="B114" s="387" t="s">
        <v>923</v>
      </c>
      <c r="C114" s="387"/>
      <c r="D114" s="387"/>
      <c r="E114" s="387" t="s">
        <v>719</v>
      </c>
      <c r="F114" s="387" t="s">
        <v>169</v>
      </c>
      <c r="G114" s="387" t="s">
        <v>808</v>
      </c>
      <c r="H114" s="388">
        <v>34250</v>
      </c>
      <c r="I114" s="387">
        <v>379</v>
      </c>
      <c r="J114" s="387" t="s">
        <v>967</v>
      </c>
      <c r="K114" s="169">
        <v>34250</v>
      </c>
      <c r="L114" s="385"/>
      <c r="M114" s="385"/>
      <c r="N114" s="385"/>
    </row>
    <row r="115" spans="2:14" ht="24" customHeight="1">
      <c r="B115" s="387" t="s">
        <v>924</v>
      </c>
      <c r="C115" s="387"/>
      <c r="D115" s="387"/>
      <c r="E115" s="387" t="s">
        <v>719</v>
      </c>
      <c r="F115" s="387" t="s">
        <v>169</v>
      </c>
      <c r="G115" s="387" t="s">
        <v>808</v>
      </c>
      <c r="H115" s="388">
        <v>164000</v>
      </c>
      <c r="I115" s="387">
        <v>340</v>
      </c>
      <c r="J115" s="387" t="s">
        <v>968</v>
      </c>
      <c r="K115" s="169">
        <v>164000</v>
      </c>
      <c r="L115" s="385"/>
      <c r="M115" s="385"/>
      <c r="N115" s="385"/>
    </row>
    <row r="116" spans="2:14" ht="24" customHeight="1">
      <c r="B116" s="387" t="s">
        <v>925</v>
      </c>
      <c r="C116" s="387"/>
      <c r="D116" s="387"/>
      <c r="E116" s="387" t="s">
        <v>719</v>
      </c>
      <c r="F116" s="387" t="s">
        <v>169</v>
      </c>
      <c r="G116" s="387" t="s">
        <v>927</v>
      </c>
      <c r="H116" s="388">
        <v>65375</v>
      </c>
      <c r="I116" s="387">
        <v>381</v>
      </c>
      <c r="J116" s="387" t="s">
        <v>969</v>
      </c>
      <c r="K116" s="169">
        <v>65375</v>
      </c>
      <c r="L116" s="385"/>
      <c r="M116" s="385"/>
      <c r="N116" s="385"/>
    </row>
    <row r="117" spans="2:14" s="194" customFormat="1" ht="24" customHeight="1">
      <c r="B117" s="387" t="s">
        <v>926</v>
      </c>
      <c r="C117" s="387"/>
      <c r="D117" s="387"/>
      <c r="E117" s="387" t="s">
        <v>719</v>
      </c>
      <c r="F117" s="387" t="s">
        <v>169</v>
      </c>
      <c r="G117" s="387" t="s">
        <v>927</v>
      </c>
      <c r="H117" s="388">
        <v>2000</v>
      </c>
      <c r="I117" s="387">
        <v>407</v>
      </c>
      <c r="J117" s="387" t="s">
        <v>970</v>
      </c>
      <c r="K117" s="169">
        <v>2000</v>
      </c>
      <c r="L117" s="385"/>
      <c r="M117" s="385"/>
      <c r="N117" s="385"/>
    </row>
    <row r="118" spans="2:14" ht="24" customHeight="1">
      <c r="B118" s="387" t="s">
        <v>806</v>
      </c>
      <c r="C118" s="387"/>
      <c r="D118" s="387"/>
      <c r="E118" s="387" t="s">
        <v>719</v>
      </c>
      <c r="F118" s="387" t="s">
        <v>169</v>
      </c>
      <c r="G118" s="387" t="s">
        <v>297</v>
      </c>
      <c r="H118" s="388">
        <v>12000</v>
      </c>
      <c r="I118" s="387">
        <v>409</v>
      </c>
      <c r="J118" s="387" t="s">
        <v>971</v>
      </c>
      <c r="K118" s="169">
        <v>12000</v>
      </c>
      <c r="L118" s="385"/>
      <c r="M118" s="385"/>
      <c r="N118" s="385"/>
    </row>
    <row r="119" spans="2:14" ht="24" customHeight="1">
      <c r="B119" s="387" t="s">
        <v>807</v>
      </c>
      <c r="C119" s="387"/>
      <c r="D119" s="387"/>
      <c r="E119" s="387" t="s">
        <v>719</v>
      </c>
      <c r="F119" s="387" t="s">
        <v>169</v>
      </c>
      <c r="G119" s="387" t="s">
        <v>808</v>
      </c>
      <c r="H119" s="388"/>
      <c r="I119" s="387"/>
      <c r="J119" s="387"/>
      <c r="K119" s="169"/>
      <c r="L119" s="385"/>
      <c r="M119" s="385"/>
      <c r="N119" s="385"/>
    </row>
    <row r="120" spans="2:14" ht="24" customHeight="1" thickBot="1">
      <c r="B120" s="405" t="s">
        <v>306</v>
      </c>
      <c r="C120" s="405"/>
      <c r="D120" s="405"/>
      <c r="E120" s="405"/>
      <c r="F120" s="405"/>
      <c r="G120" s="405"/>
      <c r="H120" s="406">
        <f>SUM(H22:H119)</f>
        <v>11507877.5</v>
      </c>
      <c r="I120" s="407"/>
      <c r="J120" s="407"/>
      <c r="K120" s="408">
        <f>SUM(K22:K119)</f>
        <v>11507877.5</v>
      </c>
      <c r="L120" s="385"/>
      <c r="M120" s="385"/>
      <c r="N120" s="385"/>
    </row>
    <row r="121" spans="2:14" ht="24" customHeight="1">
      <c r="H121" s="202">
        <v>12845523</v>
      </c>
    </row>
    <row r="122" spans="2:14" ht="24" customHeight="1">
      <c r="H122" s="164">
        <f>H121-H120</f>
        <v>1337645.5</v>
      </c>
    </row>
    <row r="123" spans="2:14" ht="24" customHeight="1">
      <c r="H123" s="115">
        <f>21882.06+67500+62588+47148.48+101914.32+21018.74+5170.68+740.94+3484.11+1060</f>
        <v>332507.32999999996</v>
      </c>
    </row>
    <row r="124" spans="2:14" ht="24" customHeight="1">
      <c r="H124" s="116">
        <f>H122-H123</f>
        <v>1005138.17</v>
      </c>
    </row>
  </sheetData>
  <autoFilter ref="K2:K120"/>
  <mergeCells count="2">
    <mergeCell ref="B19:K19"/>
    <mergeCell ref="B20:K20"/>
  </mergeCells>
  <pageMargins left="0.70866141732283472" right="0.70866141732283472" top="0.74803149606299213" bottom="0.74803149606299213" header="0.31496062992125984" footer="0.31496062992125984"/>
  <pageSetup scale="56" fitToHeight="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53"/>
  <sheetViews>
    <sheetView topLeftCell="G1" workbookViewId="0">
      <pane ySplit="4" topLeftCell="A5" activePane="bottomLeft" state="frozen"/>
      <selection activeCell="A4" sqref="A4"/>
      <selection pane="bottomLeft" activeCell="P130" sqref="P130"/>
    </sheetView>
  </sheetViews>
  <sheetFormatPr defaultColWidth="9.125" defaultRowHeight="23.25" customHeight="1"/>
  <cols>
    <col min="1" max="1" width="9.125" style="71"/>
    <col min="2" max="2" width="21.375" style="71" customWidth="1"/>
    <col min="3" max="3" width="0" style="71" hidden="1" customWidth="1"/>
    <col min="4" max="4" width="11" style="71" hidden="1" customWidth="1"/>
    <col min="5" max="5" width="0" style="71" hidden="1" customWidth="1"/>
    <col min="6" max="6" width="4.75" style="71" hidden="1" customWidth="1"/>
    <col min="7" max="7" width="27.125" style="71" bestFit="1" customWidth="1"/>
    <col min="8" max="11" width="0" style="71" hidden="1" customWidth="1"/>
    <col min="12" max="12" width="14.875" style="71" bestFit="1" customWidth="1"/>
    <col min="13" max="13" width="0" style="71" hidden="1" customWidth="1"/>
    <col min="14" max="15" width="17.25" style="71" customWidth="1"/>
    <col min="16" max="16" width="47.875" style="71" bestFit="1" customWidth="1"/>
    <col min="17" max="17" width="17.25" style="172" customWidth="1"/>
    <col min="18" max="18" width="17.25" style="71" customWidth="1"/>
    <col min="19" max="19" width="9.125" style="71"/>
    <col min="20" max="20" width="4.625" style="71" bestFit="1" customWidth="1"/>
    <col min="21" max="21" width="43.125" style="71" bestFit="1" customWidth="1"/>
    <col min="22" max="22" width="12.375" style="71" bestFit="1" customWidth="1"/>
    <col min="23" max="23" width="11.75" style="71" bestFit="1" customWidth="1"/>
    <col min="24" max="16384" width="9.125" style="71"/>
  </cols>
  <sheetData>
    <row r="2" spans="2:18" ht="23.25" customHeight="1">
      <c r="B2" s="71" t="s">
        <v>276</v>
      </c>
    </row>
    <row r="4" spans="2:18" s="175" customFormat="1" ht="23.25" customHeight="1">
      <c r="B4" s="173" t="s">
        <v>277</v>
      </c>
      <c r="C4" s="173" t="s">
        <v>278</v>
      </c>
      <c r="D4" s="173" t="s">
        <v>279</v>
      </c>
      <c r="E4" s="173" t="s">
        <v>4</v>
      </c>
      <c r="F4" s="173" t="s">
        <v>2</v>
      </c>
      <c r="G4" s="173" t="s">
        <v>3</v>
      </c>
      <c r="H4" s="173" t="s">
        <v>6</v>
      </c>
      <c r="I4" s="173" t="s">
        <v>280</v>
      </c>
      <c r="J4" s="173" t="s">
        <v>281</v>
      </c>
      <c r="K4" s="173" t="s">
        <v>282</v>
      </c>
      <c r="L4" s="173" t="s">
        <v>283</v>
      </c>
      <c r="M4" s="173" t="s">
        <v>284</v>
      </c>
      <c r="N4" s="173" t="s">
        <v>285</v>
      </c>
      <c r="O4" s="173" t="s">
        <v>716</v>
      </c>
      <c r="P4" s="173" t="s">
        <v>278</v>
      </c>
      <c r="Q4" s="174"/>
      <c r="R4" s="173"/>
    </row>
    <row r="5" spans="2:18" ht="23.25" customHeight="1">
      <c r="B5" s="79" t="s">
        <v>308</v>
      </c>
      <c r="C5" s="79" t="s">
        <v>287</v>
      </c>
      <c r="D5" s="79" t="s">
        <v>288</v>
      </c>
      <c r="E5" s="79" t="s">
        <v>289</v>
      </c>
      <c r="F5" s="79" t="s">
        <v>167</v>
      </c>
      <c r="G5" s="79" t="s">
        <v>290</v>
      </c>
      <c r="H5" s="79" t="s">
        <v>13</v>
      </c>
      <c r="I5" s="79" t="s">
        <v>13</v>
      </c>
      <c r="J5" s="79" t="s">
        <v>14</v>
      </c>
      <c r="K5" s="79" t="s">
        <v>12</v>
      </c>
      <c r="L5" s="79" t="s">
        <v>291</v>
      </c>
      <c r="M5" s="79" t="s">
        <v>292</v>
      </c>
      <c r="N5" s="81">
        <v>83000</v>
      </c>
      <c r="O5" s="93">
        <v>63</v>
      </c>
      <c r="P5" s="79" t="s">
        <v>530</v>
      </c>
      <c r="Q5" s="82">
        <v>83000</v>
      </c>
      <c r="R5" s="81">
        <f t="shared" ref="R5:R36" si="0">N5-Q5</f>
        <v>0</v>
      </c>
    </row>
    <row r="6" spans="2:18" ht="23.25" customHeight="1">
      <c r="B6" s="79" t="s">
        <v>309</v>
      </c>
      <c r="C6" s="79" t="s">
        <v>287</v>
      </c>
      <c r="D6" s="79" t="s">
        <v>288</v>
      </c>
      <c r="E6" s="79" t="s">
        <v>289</v>
      </c>
      <c r="F6" s="79" t="s">
        <v>167</v>
      </c>
      <c r="G6" s="79" t="s">
        <v>290</v>
      </c>
      <c r="H6" s="79" t="s">
        <v>13</v>
      </c>
      <c r="I6" s="79" t="s">
        <v>13</v>
      </c>
      <c r="J6" s="79" t="s">
        <v>14</v>
      </c>
      <c r="K6" s="79" t="s">
        <v>12</v>
      </c>
      <c r="L6" s="79" t="s">
        <v>294</v>
      </c>
      <c r="M6" s="79" t="s">
        <v>292</v>
      </c>
      <c r="N6" s="81">
        <v>264500</v>
      </c>
      <c r="O6" s="93">
        <v>65</v>
      </c>
      <c r="P6" s="79" t="s">
        <v>531</v>
      </c>
      <c r="Q6" s="82">
        <v>264500</v>
      </c>
      <c r="R6" s="81">
        <f t="shared" si="0"/>
        <v>0</v>
      </c>
    </row>
    <row r="7" spans="2:18" ht="23.25" customHeight="1">
      <c r="B7" s="79" t="s">
        <v>310</v>
      </c>
      <c r="C7" s="79" t="s">
        <v>287</v>
      </c>
      <c r="D7" s="79" t="s">
        <v>288</v>
      </c>
      <c r="E7" s="79" t="s">
        <v>289</v>
      </c>
      <c r="F7" s="79" t="s">
        <v>167</v>
      </c>
      <c r="G7" s="79" t="s">
        <v>290</v>
      </c>
      <c r="H7" s="79" t="s">
        <v>13</v>
      </c>
      <c r="I7" s="79" t="s">
        <v>13</v>
      </c>
      <c r="J7" s="79" t="s">
        <v>14</v>
      </c>
      <c r="K7" s="79" t="s">
        <v>12</v>
      </c>
      <c r="L7" s="79" t="s">
        <v>294</v>
      </c>
      <c r="M7" s="79" t="s">
        <v>292</v>
      </c>
      <c r="N7" s="81">
        <v>210500</v>
      </c>
      <c r="O7" s="93">
        <v>66</v>
      </c>
      <c r="P7" s="79" t="s">
        <v>532</v>
      </c>
      <c r="Q7" s="82">
        <v>210500</v>
      </c>
      <c r="R7" s="81">
        <f t="shared" si="0"/>
        <v>0</v>
      </c>
    </row>
    <row r="8" spans="2:18" ht="23.25" customHeight="1">
      <c r="B8" s="79" t="s">
        <v>311</v>
      </c>
      <c r="C8" s="79" t="s">
        <v>287</v>
      </c>
      <c r="D8" s="79" t="s">
        <v>288</v>
      </c>
      <c r="E8" s="79" t="s">
        <v>289</v>
      </c>
      <c r="F8" s="79" t="s">
        <v>167</v>
      </c>
      <c r="G8" s="79" t="s">
        <v>290</v>
      </c>
      <c r="H8" s="79" t="s">
        <v>13</v>
      </c>
      <c r="I8" s="79" t="s">
        <v>13</v>
      </c>
      <c r="J8" s="79" t="s">
        <v>14</v>
      </c>
      <c r="K8" s="79" t="s">
        <v>12</v>
      </c>
      <c r="L8" s="79" t="s">
        <v>294</v>
      </c>
      <c r="M8" s="79" t="s">
        <v>292</v>
      </c>
      <c r="N8" s="81">
        <v>1238500</v>
      </c>
      <c r="O8" s="93">
        <v>67</v>
      </c>
      <c r="P8" s="79" t="s">
        <v>533</v>
      </c>
      <c r="Q8" s="82">
        <v>1238500</v>
      </c>
      <c r="R8" s="81">
        <f t="shared" si="0"/>
        <v>0</v>
      </c>
    </row>
    <row r="9" spans="2:18" ht="23.25" customHeight="1">
      <c r="B9" s="79" t="s">
        <v>312</v>
      </c>
      <c r="C9" s="79" t="s">
        <v>287</v>
      </c>
      <c r="D9" s="79" t="s">
        <v>288</v>
      </c>
      <c r="E9" s="79" t="s">
        <v>289</v>
      </c>
      <c r="F9" s="79" t="s">
        <v>167</v>
      </c>
      <c r="G9" s="79" t="s">
        <v>290</v>
      </c>
      <c r="H9" s="79" t="s">
        <v>13</v>
      </c>
      <c r="I9" s="79" t="s">
        <v>13</v>
      </c>
      <c r="J9" s="79" t="s">
        <v>14</v>
      </c>
      <c r="K9" s="79" t="s">
        <v>12</v>
      </c>
      <c r="L9" s="79" t="s">
        <v>294</v>
      </c>
      <c r="M9" s="79" t="s">
        <v>292</v>
      </c>
      <c r="N9" s="79">
        <v>625</v>
      </c>
      <c r="O9" s="93">
        <v>69</v>
      </c>
      <c r="P9" s="79" t="s">
        <v>534</v>
      </c>
      <c r="Q9" s="82">
        <v>625</v>
      </c>
      <c r="R9" s="81">
        <f t="shared" si="0"/>
        <v>0</v>
      </c>
    </row>
    <row r="10" spans="2:18" ht="23.25" customHeight="1">
      <c r="B10" s="79" t="s">
        <v>313</v>
      </c>
      <c r="C10" s="79" t="s">
        <v>287</v>
      </c>
      <c r="D10" s="79" t="s">
        <v>288</v>
      </c>
      <c r="E10" s="79" t="s">
        <v>289</v>
      </c>
      <c r="F10" s="79" t="s">
        <v>167</v>
      </c>
      <c r="G10" s="79" t="s">
        <v>290</v>
      </c>
      <c r="H10" s="79" t="s">
        <v>13</v>
      </c>
      <c r="I10" s="79" t="s">
        <v>13</v>
      </c>
      <c r="J10" s="79" t="s">
        <v>14</v>
      </c>
      <c r="K10" s="79" t="s">
        <v>12</v>
      </c>
      <c r="L10" s="79" t="s">
        <v>294</v>
      </c>
      <c r="M10" s="79" t="s">
        <v>292</v>
      </c>
      <c r="N10" s="81">
        <v>47750</v>
      </c>
      <c r="O10" s="93">
        <v>70</v>
      </c>
      <c r="P10" s="79" t="s">
        <v>535</v>
      </c>
      <c r="Q10" s="82">
        <v>47750</v>
      </c>
      <c r="R10" s="81">
        <f t="shared" si="0"/>
        <v>0</v>
      </c>
    </row>
    <row r="11" spans="2:18" ht="23.25" customHeight="1">
      <c r="B11" s="79" t="s">
        <v>314</v>
      </c>
      <c r="C11" s="79" t="s">
        <v>287</v>
      </c>
      <c r="D11" s="79" t="s">
        <v>288</v>
      </c>
      <c r="E11" s="79" t="s">
        <v>289</v>
      </c>
      <c r="F11" s="79" t="s">
        <v>167</v>
      </c>
      <c r="G11" s="79" t="s">
        <v>290</v>
      </c>
      <c r="H11" s="79" t="s">
        <v>13</v>
      </c>
      <c r="I11" s="79" t="s">
        <v>13</v>
      </c>
      <c r="J11" s="79" t="s">
        <v>14</v>
      </c>
      <c r="K11" s="79" t="s">
        <v>12</v>
      </c>
      <c r="L11" s="79" t="s">
        <v>294</v>
      </c>
      <c r="M11" s="79" t="s">
        <v>292</v>
      </c>
      <c r="N11" s="81">
        <v>959125</v>
      </c>
      <c r="O11" s="93">
        <v>71</v>
      </c>
      <c r="P11" s="79" t="s">
        <v>536</v>
      </c>
      <c r="Q11" s="82">
        <v>959125</v>
      </c>
      <c r="R11" s="81">
        <f t="shared" si="0"/>
        <v>0</v>
      </c>
    </row>
    <row r="12" spans="2:18" ht="23.25" customHeight="1">
      <c r="B12" s="79" t="s">
        <v>315</v>
      </c>
      <c r="C12" s="79" t="s">
        <v>287</v>
      </c>
      <c r="D12" s="79" t="s">
        <v>288</v>
      </c>
      <c r="E12" s="79" t="s">
        <v>289</v>
      </c>
      <c r="F12" s="79" t="s">
        <v>167</v>
      </c>
      <c r="G12" s="79" t="s">
        <v>290</v>
      </c>
      <c r="H12" s="79" t="s">
        <v>13</v>
      </c>
      <c r="I12" s="79" t="s">
        <v>13</v>
      </c>
      <c r="J12" s="79" t="s">
        <v>14</v>
      </c>
      <c r="K12" s="79" t="s">
        <v>12</v>
      </c>
      <c r="L12" s="79" t="s">
        <v>294</v>
      </c>
      <c r="M12" s="79" t="s">
        <v>292</v>
      </c>
      <c r="N12" s="81">
        <v>1010250</v>
      </c>
      <c r="O12" s="93">
        <v>72</v>
      </c>
      <c r="P12" s="79" t="s">
        <v>537</v>
      </c>
      <c r="Q12" s="82">
        <v>1010250</v>
      </c>
      <c r="R12" s="81">
        <f t="shared" si="0"/>
        <v>0</v>
      </c>
    </row>
    <row r="13" spans="2:18" ht="23.25" customHeight="1">
      <c r="B13" s="79" t="s">
        <v>316</v>
      </c>
      <c r="C13" s="79" t="s">
        <v>287</v>
      </c>
      <c r="D13" s="79" t="s">
        <v>288</v>
      </c>
      <c r="E13" s="79" t="s">
        <v>289</v>
      </c>
      <c r="F13" s="79" t="s">
        <v>167</v>
      </c>
      <c r="G13" s="79" t="s">
        <v>290</v>
      </c>
      <c r="H13" s="79" t="s">
        <v>13</v>
      </c>
      <c r="I13" s="79" t="s">
        <v>13</v>
      </c>
      <c r="J13" s="79" t="s">
        <v>14</v>
      </c>
      <c r="K13" s="79" t="s">
        <v>12</v>
      </c>
      <c r="L13" s="79" t="s">
        <v>294</v>
      </c>
      <c r="M13" s="79" t="s">
        <v>292</v>
      </c>
      <c r="N13" s="81">
        <v>668625</v>
      </c>
      <c r="O13" s="93">
        <v>73</v>
      </c>
      <c r="P13" s="79" t="s">
        <v>538</v>
      </c>
      <c r="Q13" s="82">
        <v>668625</v>
      </c>
      <c r="R13" s="81">
        <f t="shared" si="0"/>
        <v>0</v>
      </c>
    </row>
    <row r="14" spans="2:18" ht="23.25" customHeight="1">
      <c r="B14" s="79" t="s">
        <v>317</v>
      </c>
      <c r="C14" s="79" t="s">
        <v>287</v>
      </c>
      <c r="D14" s="79" t="s">
        <v>288</v>
      </c>
      <c r="E14" s="79" t="s">
        <v>289</v>
      </c>
      <c r="F14" s="79" t="s">
        <v>167</v>
      </c>
      <c r="G14" s="79" t="s">
        <v>290</v>
      </c>
      <c r="H14" s="79" t="s">
        <v>13</v>
      </c>
      <c r="I14" s="79" t="s">
        <v>13</v>
      </c>
      <c r="J14" s="79" t="s">
        <v>14</v>
      </c>
      <c r="K14" s="79" t="s">
        <v>12</v>
      </c>
      <c r="L14" s="79" t="s">
        <v>294</v>
      </c>
      <c r="M14" s="79" t="s">
        <v>292</v>
      </c>
      <c r="N14" s="81">
        <v>563875</v>
      </c>
      <c r="O14" s="93">
        <v>74</v>
      </c>
      <c r="P14" s="79" t="s">
        <v>539</v>
      </c>
      <c r="Q14" s="82">
        <v>563875</v>
      </c>
      <c r="R14" s="81">
        <f t="shared" si="0"/>
        <v>0</v>
      </c>
    </row>
    <row r="15" spans="2:18" ht="23.25" customHeight="1">
      <c r="B15" s="79" t="s">
        <v>318</v>
      </c>
      <c r="C15" s="79" t="s">
        <v>287</v>
      </c>
      <c r="D15" s="79" t="s">
        <v>288</v>
      </c>
      <c r="E15" s="79" t="s">
        <v>289</v>
      </c>
      <c r="F15" s="79" t="s">
        <v>167</v>
      </c>
      <c r="G15" s="79" t="s">
        <v>290</v>
      </c>
      <c r="H15" s="79" t="s">
        <v>13</v>
      </c>
      <c r="I15" s="79" t="s">
        <v>13</v>
      </c>
      <c r="J15" s="79" t="s">
        <v>14</v>
      </c>
      <c r="K15" s="79" t="s">
        <v>12</v>
      </c>
      <c r="L15" s="79" t="s">
        <v>294</v>
      </c>
      <c r="M15" s="79" t="s">
        <v>292</v>
      </c>
      <c r="N15" s="81">
        <v>335000</v>
      </c>
      <c r="O15" s="93">
        <v>75</v>
      </c>
      <c r="P15" s="79" t="s">
        <v>540</v>
      </c>
      <c r="Q15" s="82">
        <v>335000</v>
      </c>
      <c r="R15" s="81">
        <f t="shared" si="0"/>
        <v>0</v>
      </c>
    </row>
    <row r="16" spans="2:18" ht="23.25" customHeight="1">
      <c r="B16" s="79" t="s">
        <v>319</v>
      </c>
      <c r="C16" s="79" t="s">
        <v>287</v>
      </c>
      <c r="D16" s="79" t="s">
        <v>288</v>
      </c>
      <c r="E16" s="79" t="s">
        <v>289</v>
      </c>
      <c r="F16" s="79" t="s">
        <v>167</v>
      </c>
      <c r="G16" s="79" t="s">
        <v>290</v>
      </c>
      <c r="H16" s="79" t="s">
        <v>13</v>
      </c>
      <c r="I16" s="79" t="s">
        <v>13</v>
      </c>
      <c r="J16" s="79" t="s">
        <v>14</v>
      </c>
      <c r="K16" s="79" t="s">
        <v>12</v>
      </c>
      <c r="L16" s="79" t="s">
        <v>294</v>
      </c>
      <c r="M16" s="79" t="s">
        <v>292</v>
      </c>
      <c r="N16" s="81">
        <v>235000</v>
      </c>
      <c r="O16" s="93">
        <v>77</v>
      </c>
      <c r="P16" s="79" t="s">
        <v>541</v>
      </c>
      <c r="Q16" s="82">
        <v>235000</v>
      </c>
      <c r="R16" s="81">
        <f t="shared" si="0"/>
        <v>0</v>
      </c>
    </row>
    <row r="17" spans="2:18" ht="23.25" customHeight="1">
      <c r="B17" s="79" t="s">
        <v>320</v>
      </c>
      <c r="C17" s="79" t="s">
        <v>287</v>
      </c>
      <c r="D17" s="79" t="s">
        <v>288</v>
      </c>
      <c r="E17" s="79" t="s">
        <v>289</v>
      </c>
      <c r="F17" s="79" t="s">
        <v>167</v>
      </c>
      <c r="G17" s="79" t="s">
        <v>290</v>
      </c>
      <c r="H17" s="79" t="s">
        <v>13</v>
      </c>
      <c r="I17" s="79" t="s">
        <v>13</v>
      </c>
      <c r="J17" s="79" t="s">
        <v>14</v>
      </c>
      <c r="K17" s="79" t="s">
        <v>12</v>
      </c>
      <c r="L17" s="79" t="s">
        <v>294</v>
      </c>
      <c r="M17" s="79" t="s">
        <v>292</v>
      </c>
      <c r="N17" s="81">
        <v>535000</v>
      </c>
      <c r="O17" s="93">
        <v>79</v>
      </c>
      <c r="P17" s="79" t="s">
        <v>542</v>
      </c>
      <c r="Q17" s="82">
        <v>535000</v>
      </c>
      <c r="R17" s="81">
        <f t="shared" si="0"/>
        <v>0</v>
      </c>
    </row>
    <row r="18" spans="2:18" ht="23.25" customHeight="1">
      <c r="B18" s="79" t="s">
        <v>321</v>
      </c>
      <c r="C18" s="79" t="s">
        <v>287</v>
      </c>
      <c r="D18" s="79" t="s">
        <v>288</v>
      </c>
      <c r="E18" s="79" t="s">
        <v>289</v>
      </c>
      <c r="F18" s="79" t="s">
        <v>167</v>
      </c>
      <c r="G18" s="79" t="s">
        <v>290</v>
      </c>
      <c r="H18" s="79" t="s">
        <v>13</v>
      </c>
      <c r="I18" s="79" t="s">
        <v>13</v>
      </c>
      <c r="J18" s="79" t="s">
        <v>14</v>
      </c>
      <c r="K18" s="79" t="s">
        <v>12</v>
      </c>
      <c r="L18" s="79" t="s">
        <v>294</v>
      </c>
      <c r="M18" s="79" t="s">
        <v>292</v>
      </c>
      <c r="N18" s="81">
        <v>1026000</v>
      </c>
      <c r="O18" s="93">
        <v>81</v>
      </c>
      <c r="P18" s="79" t="s">
        <v>543</v>
      </c>
      <c r="Q18" s="82">
        <v>1026000</v>
      </c>
      <c r="R18" s="81">
        <f t="shared" si="0"/>
        <v>0</v>
      </c>
    </row>
    <row r="19" spans="2:18" ht="23.25" customHeight="1">
      <c r="B19" s="79" t="s">
        <v>322</v>
      </c>
      <c r="C19" s="79" t="s">
        <v>287</v>
      </c>
      <c r="D19" s="79" t="s">
        <v>288</v>
      </c>
      <c r="E19" s="79" t="s">
        <v>289</v>
      </c>
      <c r="F19" s="79" t="s">
        <v>167</v>
      </c>
      <c r="G19" s="79" t="s">
        <v>290</v>
      </c>
      <c r="H19" s="79" t="s">
        <v>13</v>
      </c>
      <c r="I19" s="79" t="s">
        <v>13</v>
      </c>
      <c r="J19" s="79" t="s">
        <v>14</v>
      </c>
      <c r="K19" s="79" t="s">
        <v>12</v>
      </c>
      <c r="L19" s="79" t="s">
        <v>294</v>
      </c>
      <c r="M19" s="79" t="s">
        <v>292</v>
      </c>
      <c r="N19" s="81">
        <v>1006000</v>
      </c>
      <c r="O19" s="93">
        <v>83</v>
      </c>
      <c r="P19" s="79" t="s">
        <v>544</v>
      </c>
      <c r="Q19" s="82">
        <v>1006000</v>
      </c>
      <c r="R19" s="81">
        <f t="shared" si="0"/>
        <v>0</v>
      </c>
    </row>
    <row r="20" spans="2:18" ht="23.25" customHeight="1">
      <c r="B20" s="79" t="s">
        <v>323</v>
      </c>
      <c r="C20" s="79" t="s">
        <v>287</v>
      </c>
      <c r="D20" s="79" t="s">
        <v>288</v>
      </c>
      <c r="E20" s="79" t="s">
        <v>289</v>
      </c>
      <c r="F20" s="79" t="s">
        <v>167</v>
      </c>
      <c r="G20" s="79" t="s">
        <v>290</v>
      </c>
      <c r="H20" s="79" t="s">
        <v>13</v>
      </c>
      <c r="I20" s="79" t="s">
        <v>13</v>
      </c>
      <c r="J20" s="79" t="s">
        <v>14</v>
      </c>
      <c r="K20" s="79" t="s">
        <v>12</v>
      </c>
      <c r="L20" s="79" t="s">
        <v>294</v>
      </c>
      <c r="M20" s="79" t="s">
        <v>292</v>
      </c>
      <c r="N20" s="81">
        <v>772000</v>
      </c>
      <c r="O20" s="93">
        <v>85</v>
      </c>
      <c r="P20" s="79" t="s">
        <v>545</v>
      </c>
      <c r="Q20" s="82">
        <v>772000</v>
      </c>
      <c r="R20" s="81">
        <f t="shared" si="0"/>
        <v>0</v>
      </c>
    </row>
    <row r="21" spans="2:18" ht="23.25" customHeight="1">
      <c r="B21" s="79" t="s">
        <v>324</v>
      </c>
      <c r="C21" s="79" t="s">
        <v>287</v>
      </c>
      <c r="D21" s="79" t="s">
        <v>288</v>
      </c>
      <c r="E21" s="79" t="s">
        <v>289</v>
      </c>
      <c r="F21" s="79" t="s">
        <v>167</v>
      </c>
      <c r="G21" s="79" t="s">
        <v>290</v>
      </c>
      <c r="H21" s="79" t="s">
        <v>13</v>
      </c>
      <c r="I21" s="79" t="s">
        <v>13</v>
      </c>
      <c r="J21" s="79" t="s">
        <v>14</v>
      </c>
      <c r="K21" s="79" t="s">
        <v>12</v>
      </c>
      <c r="L21" s="79" t="s">
        <v>294</v>
      </c>
      <c r="M21" s="79" t="s">
        <v>292</v>
      </c>
      <c r="N21" s="81">
        <v>748000</v>
      </c>
      <c r="O21" s="93">
        <v>87</v>
      </c>
      <c r="P21" s="79" t="s">
        <v>546</v>
      </c>
      <c r="Q21" s="82">
        <v>748000</v>
      </c>
      <c r="R21" s="81">
        <f t="shared" si="0"/>
        <v>0</v>
      </c>
    </row>
    <row r="22" spans="2:18" ht="23.25" customHeight="1">
      <c r="B22" s="79" t="s">
        <v>325</v>
      </c>
      <c r="C22" s="79" t="s">
        <v>287</v>
      </c>
      <c r="D22" s="79" t="s">
        <v>288</v>
      </c>
      <c r="E22" s="79" t="s">
        <v>289</v>
      </c>
      <c r="F22" s="79" t="s">
        <v>167</v>
      </c>
      <c r="G22" s="79" t="s">
        <v>290</v>
      </c>
      <c r="H22" s="79" t="s">
        <v>13</v>
      </c>
      <c r="I22" s="79" t="s">
        <v>13</v>
      </c>
      <c r="J22" s="79" t="s">
        <v>14</v>
      </c>
      <c r="K22" s="79" t="s">
        <v>12</v>
      </c>
      <c r="L22" s="79" t="s">
        <v>294</v>
      </c>
      <c r="M22" s="79" t="s">
        <v>292</v>
      </c>
      <c r="N22" s="81">
        <v>35750</v>
      </c>
      <c r="O22" s="93">
        <v>89</v>
      </c>
      <c r="P22" s="79" t="s">
        <v>547</v>
      </c>
      <c r="Q22" s="82">
        <v>35750</v>
      </c>
      <c r="R22" s="81">
        <f t="shared" si="0"/>
        <v>0</v>
      </c>
    </row>
    <row r="23" spans="2:18" ht="23.25" customHeight="1">
      <c r="B23" s="79" t="s">
        <v>326</v>
      </c>
      <c r="C23" s="79" t="s">
        <v>287</v>
      </c>
      <c r="D23" s="79" t="s">
        <v>288</v>
      </c>
      <c r="E23" s="79" t="s">
        <v>289</v>
      </c>
      <c r="F23" s="79" t="s">
        <v>167</v>
      </c>
      <c r="G23" s="79" t="s">
        <v>290</v>
      </c>
      <c r="H23" s="79" t="s">
        <v>13</v>
      </c>
      <c r="I23" s="79" t="s">
        <v>13</v>
      </c>
      <c r="J23" s="79" t="s">
        <v>14</v>
      </c>
      <c r="K23" s="79" t="s">
        <v>12</v>
      </c>
      <c r="L23" s="79" t="s">
        <v>294</v>
      </c>
      <c r="M23" s="79" t="s">
        <v>292</v>
      </c>
      <c r="N23" s="81">
        <v>26375</v>
      </c>
      <c r="O23" s="93">
        <v>90</v>
      </c>
      <c r="P23" s="79" t="s">
        <v>548</v>
      </c>
      <c r="Q23" s="82">
        <v>26375</v>
      </c>
      <c r="R23" s="81">
        <f t="shared" si="0"/>
        <v>0</v>
      </c>
    </row>
    <row r="24" spans="2:18" ht="23.25" customHeight="1">
      <c r="B24" s="79" t="s">
        <v>327</v>
      </c>
      <c r="C24" s="79" t="s">
        <v>287</v>
      </c>
      <c r="D24" s="79" t="s">
        <v>288</v>
      </c>
      <c r="E24" s="79" t="s">
        <v>289</v>
      </c>
      <c r="F24" s="79" t="s">
        <v>167</v>
      </c>
      <c r="G24" s="79" t="s">
        <v>290</v>
      </c>
      <c r="H24" s="79" t="s">
        <v>13</v>
      </c>
      <c r="I24" s="79" t="s">
        <v>13</v>
      </c>
      <c r="J24" s="79" t="s">
        <v>14</v>
      </c>
      <c r="K24" s="79" t="s">
        <v>12</v>
      </c>
      <c r="L24" s="79" t="s">
        <v>294</v>
      </c>
      <c r="M24" s="79" t="s">
        <v>292</v>
      </c>
      <c r="N24" s="81">
        <v>67875</v>
      </c>
      <c r="O24" s="93">
        <v>91</v>
      </c>
      <c r="P24" s="79" t="s">
        <v>549</v>
      </c>
      <c r="Q24" s="82">
        <v>67875</v>
      </c>
      <c r="R24" s="81">
        <f t="shared" si="0"/>
        <v>0</v>
      </c>
    </row>
    <row r="25" spans="2:18" ht="23.25" customHeight="1">
      <c r="B25" s="79" t="s">
        <v>328</v>
      </c>
      <c r="C25" s="79" t="s">
        <v>287</v>
      </c>
      <c r="D25" s="79" t="s">
        <v>288</v>
      </c>
      <c r="E25" s="79" t="s">
        <v>289</v>
      </c>
      <c r="F25" s="79" t="s">
        <v>167</v>
      </c>
      <c r="G25" s="79" t="s">
        <v>290</v>
      </c>
      <c r="H25" s="79" t="s">
        <v>13</v>
      </c>
      <c r="I25" s="79" t="s">
        <v>13</v>
      </c>
      <c r="J25" s="79" t="s">
        <v>14</v>
      </c>
      <c r="K25" s="79" t="s">
        <v>12</v>
      </c>
      <c r="L25" s="79" t="s">
        <v>294</v>
      </c>
      <c r="M25" s="79" t="s">
        <v>292</v>
      </c>
      <c r="N25" s="81">
        <v>67000</v>
      </c>
      <c r="O25" s="93">
        <v>92</v>
      </c>
      <c r="P25" s="79" t="s">
        <v>550</v>
      </c>
      <c r="Q25" s="82">
        <v>67000</v>
      </c>
      <c r="R25" s="81">
        <f t="shared" si="0"/>
        <v>0</v>
      </c>
    </row>
    <row r="26" spans="2:18" ht="23.25" customHeight="1">
      <c r="B26" s="79" t="s">
        <v>329</v>
      </c>
      <c r="C26" s="79" t="s">
        <v>287</v>
      </c>
      <c r="D26" s="79" t="s">
        <v>288</v>
      </c>
      <c r="E26" s="79" t="s">
        <v>289</v>
      </c>
      <c r="F26" s="79" t="s">
        <v>167</v>
      </c>
      <c r="G26" s="79" t="s">
        <v>290</v>
      </c>
      <c r="H26" s="79" t="s">
        <v>13</v>
      </c>
      <c r="I26" s="79" t="s">
        <v>13</v>
      </c>
      <c r="J26" s="79" t="s">
        <v>14</v>
      </c>
      <c r="K26" s="79" t="s">
        <v>12</v>
      </c>
      <c r="L26" s="79" t="s">
        <v>294</v>
      </c>
      <c r="M26" s="79" t="s">
        <v>292</v>
      </c>
      <c r="N26" s="81">
        <v>69750</v>
      </c>
      <c r="O26" s="93">
        <v>93</v>
      </c>
      <c r="P26" s="79" t="s">
        <v>551</v>
      </c>
      <c r="Q26" s="82">
        <v>69750</v>
      </c>
      <c r="R26" s="81">
        <f t="shared" si="0"/>
        <v>0</v>
      </c>
    </row>
    <row r="27" spans="2:18" ht="23.25" customHeight="1">
      <c r="B27" s="79" t="s">
        <v>330</v>
      </c>
      <c r="C27" s="79" t="s">
        <v>287</v>
      </c>
      <c r="D27" s="79" t="s">
        <v>288</v>
      </c>
      <c r="E27" s="79" t="s">
        <v>289</v>
      </c>
      <c r="F27" s="79" t="s">
        <v>167</v>
      </c>
      <c r="G27" s="79" t="s">
        <v>290</v>
      </c>
      <c r="H27" s="79" t="s">
        <v>13</v>
      </c>
      <c r="I27" s="79" t="s">
        <v>13</v>
      </c>
      <c r="J27" s="79" t="s">
        <v>14</v>
      </c>
      <c r="K27" s="79" t="s">
        <v>12</v>
      </c>
      <c r="L27" s="79" t="s">
        <v>294</v>
      </c>
      <c r="M27" s="79" t="s">
        <v>292</v>
      </c>
      <c r="N27" s="81">
        <v>1250</v>
      </c>
      <c r="O27" s="93">
        <v>94</v>
      </c>
      <c r="P27" s="79" t="s">
        <v>552</v>
      </c>
      <c r="Q27" s="82">
        <v>1250</v>
      </c>
      <c r="R27" s="81">
        <f t="shared" si="0"/>
        <v>0</v>
      </c>
    </row>
    <row r="28" spans="2:18" ht="23.25" customHeight="1">
      <c r="B28" s="79" t="s">
        <v>331</v>
      </c>
      <c r="C28" s="79" t="s">
        <v>287</v>
      </c>
      <c r="D28" s="79" t="s">
        <v>288</v>
      </c>
      <c r="E28" s="79" t="s">
        <v>289</v>
      </c>
      <c r="F28" s="79" t="s">
        <v>167</v>
      </c>
      <c r="G28" s="79" t="s">
        <v>290</v>
      </c>
      <c r="H28" s="79" t="s">
        <v>13</v>
      </c>
      <c r="I28" s="79" t="s">
        <v>13</v>
      </c>
      <c r="J28" s="79" t="s">
        <v>14</v>
      </c>
      <c r="K28" s="79" t="s">
        <v>12</v>
      </c>
      <c r="L28" s="79" t="s">
        <v>294</v>
      </c>
      <c r="M28" s="79" t="s">
        <v>292</v>
      </c>
      <c r="N28" s="79">
        <v>500</v>
      </c>
      <c r="O28" s="93">
        <v>95</v>
      </c>
      <c r="P28" s="79" t="s">
        <v>553</v>
      </c>
      <c r="Q28" s="82">
        <v>500</v>
      </c>
      <c r="R28" s="81">
        <f t="shared" si="0"/>
        <v>0</v>
      </c>
    </row>
    <row r="29" spans="2:18" ht="23.25" customHeight="1">
      <c r="B29" s="79" t="s">
        <v>332</v>
      </c>
      <c r="C29" s="79" t="s">
        <v>287</v>
      </c>
      <c r="D29" s="79" t="s">
        <v>288</v>
      </c>
      <c r="E29" s="79" t="s">
        <v>289</v>
      </c>
      <c r="F29" s="79" t="s">
        <v>167</v>
      </c>
      <c r="G29" s="79" t="s">
        <v>290</v>
      </c>
      <c r="H29" s="79" t="s">
        <v>13</v>
      </c>
      <c r="I29" s="79" t="s">
        <v>13</v>
      </c>
      <c r="J29" s="79" t="s">
        <v>14</v>
      </c>
      <c r="K29" s="79" t="s">
        <v>12</v>
      </c>
      <c r="L29" s="79" t="s">
        <v>294</v>
      </c>
      <c r="M29" s="79" t="s">
        <v>292</v>
      </c>
      <c r="N29" s="81">
        <v>45500</v>
      </c>
      <c r="O29" s="93">
        <v>96</v>
      </c>
      <c r="P29" s="79" t="s">
        <v>554</v>
      </c>
      <c r="Q29" s="82">
        <v>45500</v>
      </c>
      <c r="R29" s="81">
        <f t="shared" si="0"/>
        <v>0</v>
      </c>
    </row>
    <row r="30" spans="2:18" ht="23.25" customHeight="1">
      <c r="B30" s="79" t="s">
        <v>333</v>
      </c>
      <c r="C30" s="79" t="s">
        <v>287</v>
      </c>
      <c r="D30" s="79" t="s">
        <v>288</v>
      </c>
      <c r="E30" s="79" t="s">
        <v>289</v>
      </c>
      <c r="F30" s="79" t="s">
        <v>167</v>
      </c>
      <c r="G30" s="79" t="s">
        <v>290</v>
      </c>
      <c r="H30" s="79" t="s">
        <v>13</v>
      </c>
      <c r="I30" s="79" t="s">
        <v>13</v>
      </c>
      <c r="J30" s="79" t="s">
        <v>14</v>
      </c>
      <c r="K30" s="79" t="s">
        <v>12</v>
      </c>
      <c r="L30" s="79" t="s">
        <v>294</v>
      </c>
      <c r="M30" s="79" t="s">
        <v>292</v>
      </c>
      <c r="N30" s="81">
        <v>96500</v>
      </c>
      <c r="O30" s="93">
        <v>98</v>
      </c>
      <c r="P30" s="79" t="s">
        <v>555</v>
      </c>
      <c r="Q30" s="82">
        <v>96500</v>
      </c>
      <c r="R30" s="81">
        <f t="shared" si="0"/>
        <v>0</v>
      </c>
    </row>
    <row r="31" spans="2:18" ht="23.25" customHeight="1">
      <c r="B31" s="79" t="s">
        <v>334</v>
      </c>
      <c r="C31" s="79" t="s">
        <v>287</v>
      </c>
      <c r="D31" s="79" t="s">
        <v>288</v>
      </c>
      <c r="E31" s="79" t="s">
        <v>289</v>
      </c>
      <c r="F31" s="79" t="s">
        <v>167</v>
      </c>
      <c r="G31" s="79" t="s">
        <v>290</v>
      </c>
      <c r="H31" s="79" t="s">
        <v>13</v>
      </c>
      <c r="I31" s="79" t="s">
        <v>13</v>
      </c>
      <c r="J31" s="79" t="s">
        <v>14</v>
      </c>
      <c r="K31" s="79" t="s">
        <v>12</v>
      </c>
      <c r="L31" s="79" t="s">
        <v>294</v>
      </c>
      <c r="M31" s="79" t="s">
        <v>292</v>
      </c>
      <c r="N31" s="81">
        <v>163500</v>
      </c>
      <c r="O31" s="93">
        <v>100</v>
      </c>
      <c r="P31" s="79" t="s">
        <v>556</v>
      </c>
      <c r="Q31" s="82">
        <v>163500</v>
      </c>
      <c r="R31" s="81">
        <f t="shared" si="0"/>
        <v>0</v>
      </c>
    </row>
    <row r="32" spans="2:18" ht="23.25" customHeight="1">
      <c r="B32" s="79" t="s">
        <v>335</v>
      </c>
      <c r="C32" s="79" t="s">
        <v>287</v>
      </c>
      <c r="D32" s="79" t="s">
        <v>288</v>
      </c>
      <c r="E32" s="79" t="s">
        <v>289</v>
      </c>
      <c r="F32" s="79" t="s">
        <v>167</v>
      </c>
      <c r="G32" s="79" t="s">
        <v>290</v>
      </c>
      <c r="H32" s="79" t="s">
        <v>13</v>
      </c>
      <c r="I32" s="79" t="s">
        <v>13</v>
      </c>
      <c r="J32" s="79" t="s">
        <v>14</v>
      </c>
      <c r="K32" s="79" t="s">
        <v>12</v>
      </c>
      <c r="L32" s="79" t="s">
        <v>294</v>
      </c>
      <c r="M32" s="79" t="s">
        <v>292</v>
      </c>
      <c r="N32" s="81">
        <v>316000</v>
      </c>
      <c r="O32" s="93">
        <v>102</v>
      </c>
      <c r="P32" s="79" t="s">
        <v>557</v>
      </c>
      <c r="Q32" s="82">
        <v>316000</v>
      </c>
      <c r="R32" s="81">
        <f t="shared" si="0"/>
        <v>0</v>
      </c>
    </row>
    <row r="33" spans="2:18" ht="23.25" customHeight="1">
      <c r="B33" s="79" t="s">
        <v>336</v>
      </c>
      <c r="C33" s="79" t="s">
        <v>287</v>
      </c>
      <c r="D33" s="79" t="s">
        <v>288</v>
      </c>
      <c r="E33" s="79" t="s">
        <v>289</v>
      </c>
      <c r="F33" s="79" t="s">
        <v>167</v>
      </c>
      <c r="G33" s="79" t="s">
        <v>290</v>
      </c>
      <c r="H33" s="79" t="s">
        <v>13</v>
      </c>
      <c r="I33" s="79" t="s">
        <v>13</v>
      </c>
      <c r="J33" s="79" t="s">
        <v>14</v>
      </c>
      <c r="K33" s="79" t="s">
        <v>12</v>
      </c>
      <c r="L33" s="79" t="s">
        <v>294</v>
      </c>
      <c r="M33" s="79" t="s">
        <v>292</v>
      </c>
      <c r="N33" s="81">
        <v>471000</v>
      </c>
      <c r="O33" s="93">
        <v>104</v>
      </c>
      <c r="P33" s="79" t="s">
        <v>558</v>
      </c>
      <c r="Q33" s="82">
        <v>471000</v>
      </c>
      <c r="R33" s="81">
        <f t="shared" si="0"/>
        <v>0</v>
      </c>
    </row>
    <row r="34" spans="2:18" ht="23.25" customHeight="1">
      <c r="B34" s="79" t="s">
        <v>337</v>
      </c>
      <c r="C34" s="79" t="s">
        <v>287</v>
      </c>
      <c r="D34" s="79" t="s">
        <v>288</v>
      </c>
      <c r="E34" s="79" t="s">
        <v>289</v>
      </c>
      <c r="F34" s="79" t="s">
        <v>167</v>
      </c>
      <c r="G34" s="79" t="s">
        <v>290</v>
      </c>
      <c r="H34" s="79" t="s">
        <v>13</v>
      </c>
      <c r="I34" s="79" t="s">
        <v>13</v>
      </c>
      <c r="J34" s="79" t="s">
        <v>14</v>
      </c>
      <c r="K34" s="79" t="s">
        <v>12</v>
      </c>
      <c r="L34" s="79" t="s">
        <v>294</v>
      </c>
      <c r="M34" s="79" t="s">
        <v>292</v>
      </c>
      <c r="N34" s="81">
        <v>483500</v>
      </c>
      <c r="O34" s="93">
        <v>106</v>
      </c>
      <c r="P34" s="79" t="s">
        <v>559</v>
      </c>
      <c r="Q34" s="82">
        <v>483500</v>
      </c>
      <c r="R34" s="81">
        <f t="shared" si="0"/>
        <v>0</v>
      </c>
    </row>
    <row r="35" spans="2:18" ht="23.25" customHeight="1">
      <c r="B35" s="79" t="s">
        <v>338</v>
      </c>
      <c r="C35" s="79" t="s">
        <v>287</v>
      </c>
      <c r="D35" s="79" t="s">
        <v>288</v>
      </c>
      <c r="E35" s="79" t="s">
        <v>289</v>
      </c>
      <c r="F35" s="79" t="s">
        <v>167</v>
      </c>
      <c r="G35" s="79" t="s">
        <v>290</v>
      </c>
      <c r="H35" s="79" t="s">
        <v>13</v>
      </c>
      <c r="I35" s="79" t="s">
        <v>13</v>
      </c>
      <c r="J35" s="79" t="s">
        <v>14</v>
      </c>
      <c r="K35" s="79" t="s">
        <v>12</v>
      </c>
      <c r="L35" s="79" t="s">
        <v>294</v>
      </c>
      <c r="M35" s="79" t="s">
        <v>292</v>
      </c>
      <c r="N35" s="81">
        <v>343500</v>
      </c>
      <c r="O35" s="93">
        <v>108</v>
      </c>
      <c r="P35" s="79" t="s">
        <v>560</v>
      </c>
      <c r="Q35" s="82">
        <v>343500</v>
      </c>
      <c r="R35" s="81">
        <f t="shared" si="0"/>
        <v>0</v>
      </c>
    </row>
    <row r="36" spans="2:18" ht="23.25" customHeight="1">
      <c r="B36" s="79" t="s">
        <v>339</v>
      </c>
      <c r="C36" s="79" t="s">
        <v>287</v>
      </c>
      <c r="D36" s="79" t="s">
        <v>288</v>
      </c>
      <c r="E36" s="79" t="s">
        <v>289</v>
      </c>
      <c r="F36" s="79" t="s">
        <v>167</v>
      </c>
      <c r="G36" s="79" t="s">
        <v>290</v>
      </c>
      <c r="H36" s="79" t="s">
        <v>13</v>
      </c>
      <c r="I36" s="79" t="s">
        <v>13</v>
      </c>
      <c r="J36" s="79" t="s">
        <v>14</v>
      </c>
      <c r="K36" s="79" t="s">
        <v>12</v>
      </c>
      <c r="L36" s="79" t="s">
        <v>294</v>
      </c>
      <c r="M36" s="79" t="s">
        <v>292</v>
      </c>
      <c r="N36" s="81">
        <v>321000</v>
      </c>
      <c r="O36" s="93">
        <v>110</v>
      </c>
      <c r="P36" s="79" t="s">
        <v>561</v>
      </c>
      <c r="Q36" s="82">
        <v>321000</v>
      </c>
      <c r="R36" s="81">
        <f t="shared" si="0"/>
        <v>0</v>
      </c>
    </row>
    <row r="37" spans="2:18" ht="23.25" customHeight="1">
      <c r="B37" s="79" t="s">
        <v>340</v>
      </c>
      <c r="C37" s="79" t="s">
        <v>287</v>
      </c>
      <c r="D37" s="79" t="s">
        <v>288</v>
      </c>
      <c r="E37" s="79" t="s">
        <v>289</v>
      </c>
      <c r="F37" s="79" t="s">
        <v>167</v>
      </c>
      <c r="G37" s="79" t="s">
        <v>290</v>
      </c>
      <c r="H37" s="79" t="s">
        <v>13</v>
      </c>
      <c r="I37" s="79" t="s">
        <v>13</v>
      </c>
      <c r="J37" s="79" t="s">
        <v>14</v>
      </c>
      <c r="K37" s="79" t="s">
        <v>12</v>
      </c>
      <c r="L37" s="79" t="s">
        <v>294</v>
      </c>
      <c r="M37" s="79" t="s">
        <v>292</v>
      </c>
      <c r="N37" s="81">
        <v>20500</v>
      </c>
      <c r="O37" s="93">
        <v>112</v>
      </c>
      <c r="P37" s="79" t="s">
        <v>562</v>
      </c>
      <c r="Q37" s="82">
        <v>20500</v>
      </c>
      <c r="R37" s="81">
        <f t="shared" ref="R37:R68" si="1">N37-Q37</f>
        <v>0</v>
      </c>
    </row>
    <row r="38" spans="2:18" ht="23.25" customHeight="1">
      <c r="B38" s="79" t="s">
        <v>341</v>
      </c>
      <c r="C38" s="79" t="s">
        <v>287</v>
      </c>
      <c r="D38" s="79" t="s">
        <v>288</v>
      </c>
      <c r="E38" s="79" t="s">
        <v>289</v>
      </c>
      <c r="F38" s="79" t="s">
        <v>167</v>
      </c>
      <c r="G38" s="79" t="s">
        <v>290</v>
      </c>
      <c r="H38" s="79" t="s">
        <v>13</v>
      </c>
      <c r="I38" s="79" t="s">
        <v>13</v>
      </c>
      <c r="J38" s="79" t="s">
        <v>14</v>
      </c>
      <c r="K38" s="79" t="s">
        <v>12</v>
      </c>
      <c r="L38" s="79" t="s">
        <v>294</v>
      </c>
      <c r="M38" s="79" t="s">
        <v>292</v>
      </c>
      <c r="N38" s="81">
        <v>495625</v>
      </c>
      <c r="O38" s="93">
        <v>113</v>
      </c>
      <c r="P38" s="79" t="s">
        <v>563</v>
      </c>
      <c r="Q38" s="82">
        <v>495625</v>
      </c>
      <c r="R38" s="81">
        <f t="shared" si="1"/>
        <v>0</v>
      </c>
    </row>
    <row r="39" spans="2:18" ht="23.25" customHeight="1">
      <c r="B39" s="79" t="s">
        <v>342</v>
      </c>
      <c r="C39" s="79" t="s">
        <v>287</v>
      </c>
      <c r="D39" s="79" t="s">
        <v>288</v>
      </c>
      <c r="E39" s="79" t="s">
        <v>289</v>
      </c>
      <c r="F39" s="79" t="s">
        <v>167</v>
      </c>
      <c r="G39" s="79" t="s">
        <v>290</v>
      </c>
      <c r="H39" s="79" t="s">
        <v>13</v>
      </c>
      <c r="I39" s="79" t="s">
        <v>13</v>
      </c>
      <c r="J39" s="79" t="s">
        <v>14</v>
      </c>
      <c r="K39" s="79" t="s">
        <v>12</v>
      </c>
      <c r="L39" s="79" t="s">
        <v>294</v>
      </c>
      <c r="M39" s="79" t="s">
        <v>292</v>
      </c>
      <c r="N39" s="81">
        <v>703375</v>
      </c>
      <c r="O39" s="93">
        <v>115</v>
      </c>
      <c r="P39" s="79" t="s">
        <v>564</v>
      </c>
      <c r="Q39" s="82">
        <v>703375</v>
      </c>
      <c r="R39" s="81">
        <f t="shared" si="1"/>
        <v>0</v>
      </c>
    </row>
    <row r="40" spans="2:18" ht="23.25" customHeight="1">
      <c r="B40" s="79" t="s">
        <v>343</v>
      </c>
      <c r="C40" s="79" t="s">
        <v>287</v>
      </c>
      <c r="D40" s="79" t="s">
        <v>288</v>
      </c>
      <c r="E40" s="79" t="s">
        <v>289</v>
      </c>
      <c r="F40" s="79" t="s">
        <v>167</v>
      </c>
      <c r="G40" s="79" t="s">
        <v>290</v>
      </c>
      <c r="H40" s="79" t="s">
        <v>13</v>
      </c>
      <c r="I40" s="79" t="s">
        <v>13</v>
      </c>
      <c r="J40" s="79" t="s">
        <v>14</v>
      </c>
      <c r="K40" s="79" t="s">
        <v>12</v>
      </c>
      <c r="L40" s="79" t="s">
        <v>294</v>
      </c>
      <c r="M40" s="79" t="s">
        <v>292</v>
      </c>
      <c r="N40" s="81">
        <v>677875</v>
      </c>
      <c r="O40" s="93">
        <v>117</v>
      </c>
      <c r="P40" s="79" t="s">
        <v>565</v>
      </c>
      <c r="Q40" s="82">
        <v>677875</v>
      </c>
      <c r="R40" s="81">
        <f t="shared" si="1"/>
        <v>0</v>
      </c>
    </row>
    <row r="41" spans="2:18" ht="23.25" customHeight="1">
      <c r="B41" s="79" t="s">
        <v>344</v>
      </c>
      <c r="C41" s="79" t="s">
        <v>287</v>
      </c>
      <c r="D41" s="79" t="s">
        <v>288</v>
      </c>
      <c r="E41" s="79" t="s">
        <v>289</v>
      </c>
      <c r="F41" s="79" t="s">
        <v>167</v>
      </c>
      <c r="G41" s="79" t="s">
        <v>290</v>
      </c>
      <c r="H41" s="79" t="s">
        <v>13</v>
      </c>
      <c r="I41" s="79" t="s">
        <v>13</v>
      </c>
      <c r="J41" s="79" t="s">
        <v>14</v>
      </c>
      <c r="K41" s="79" t="s">
        <v>12</v>
      </c>
      <c r="L41" s="79" t="s">
        <v>294</v>
      </c>
      <c r="M41" s="79" t="s">
        <v>292</v>
      </c>
      <c r="N41" s="81">
        <v>565000</v>
      </c>
      <c r="O41" s="93">
        <v>119</v>
      </c>
      <c r="P41" s="79" t="s">
        <v>566</v>
      </c>
      <c r="Q41" s="82">
        <v>565000</v>
      </c>
      <c r="R41" s="81">
        <f t="shared" si="1"/>
        <v>0</v>
      </c>
    </row>
    <row r="42" spans="2:18" ht="23.25" customHeight="1">
      <c r="B42" s="79" t="s">
        <v>345</v>
      </c>
      <c r="C42" s="79" t="s">
        <v>287</v>
      </c>
      <c r="D42" s="79" t="s">
        <v>288</v>
      </c>
      <c r="E42" s="79" t="s">
        <v>289</v>
      </c>
      <c r="F42" s="79" t="s">
        <v>167</v>
      </c>
      <c r="G42" s="79" t="s">
        <v>290</v>
      </c>
      <c r="H42" s="79" t="s">
        <v>13</v>
      </c>
      <c r="I42" s="79" t="s">
        <v>13</v>
      </c>
      <c r="J42" s="79" t="s">
        <v>14</v>
      </c>
      <c r="K42" s="79" t="s">
        <v>12</v>
      </c>
      <c r="L42" s="79" t="s">
        <v>294</v>
      </c>
      <c r="M42" s="79" t="s">
        <v>292</v>
      </c>
      <c r="N42" s="81">
        <v>281000</v>
      </c>
      <c r="O42" s="93">
        <v>121</v>
      </c>
      <c r="P42" s="79" t="s">
        <v>567</v>
      </c>
      <c r="Q42" s="82">
        <v>281000</v>
      </c>
      <c r="R42" s="81">
        <f t="shared" si="1"/>
        <v>0</v>
      </c>
    </row>
    <row r="43" spans="2:18" ht="23.25" customHeight="1">
      <c r="B43" s="79" t="s">
        <v>346</v>
      </c>
      <c r="C43" s="79" t="s">
        <v>287</v>
      </c>
      <c r="D43" s="79" t="s">
        <v>288</v>
      </c>
      <c r="E43" s="79" t="s">
        <v>289</v>
      </c>
      <c r="F43" s="79" t="s">
        <v>167</v>
      </c>
      <c r="G43" s="79" t="s">
        <v>290</v>
      </c>
      <c r="H43" s="79" t="s">
        <v>13</v>
      </c>
      <c r="I43" s="79" t="s">
        <v>13</v>
      </c>
      <c r="J43" s="79" t="s">
        <v>14</v>
      </c>
      <c r="K43" s="79" t="s">
        <v>12</v>
      </c>
      <c r="L43" s="79" t="s">
        <v>294</v>
      </c>
      <c r="M43" s="79" t="s">
        <v>292</v>
      </c>
      <c r="N43" s="81">
        <v>988000</v>
      </c>
      <c r="O43" s="93">
        <v>123</v>
      </c>
      <c r="P43" s="79" t="s">
        <v>568</v>
      </c>
      <c r="Q43" s="82">
        <v>988000</v>
      </c>
      <c r="R43" s="81">
        <f t="shared" si="1"/>
        <v>0</v>
      </c>
    </row>
    <row r="44" spans="2:18" ht="23.25" customHeight="1">
      <c r="B44" s="79" t="s">
        <v>347</v>
      </c>
      <c r="C44" s="79" t="s">
        <v>287</v>
      </c>
      <c r="D44" s="79" t="s">
        <v>288</v>
      </c>
      <c r="E44" s="79" t="s">
        <v>289</v>
      </c>
      <c r="F44" s="79" t="s">
        <v>167</v>
      </c>
      <c r="G44" s="79" t="s">
        <v>290</v>
      </c>
      <c r="H44" s="79" t="s">
        <v>13</v>
      </c>
      <c r="I44" s="79" t="s">
        <v>13</v>
      </c>
      <c r="J44" s="79" t="s">
        <v>14</v>
      </c>
      <c r="K44" s="79" t="s">
        <v>12</v>
      </c>
      <c r="L44" s="79" t="s">
        <v>294</v>
      </c>
      <c r="M44" s="79" t="s">
        <v>292</v>
      </c>
      <c r="N44" s="81">
        <v>189000</v>
      </c>
      <c r="O44" s="93">
        <v>124</v>
      </c>
      <c r="P44" s="79" t="s">
        <v>568</v>
      </c>
      <c r="Q44" s="82">
        <v>189000</v>
      </c>
      <c r="R44" s="81">
        <f t="shared" si="1"/>
        <v>0</v>
      </c>
    </row>
    <row r="45" spans="2:18" ht="23.25" customHeight="1">
      <c r="B45" s="79" t="s">
        <v>348</v>
      </c>
      <c r="C45" s="79" t="s">
        <v>287</v>
      </c>
      <c r="D45" s="79" t="s">
        <v>288</v>
      </c>
      <c r="E45" s="79" t="s">
        <v>289</v>
      </c>
      <c r="F45" s="79" t="s">
        <v>167</v>
      </c>
      <c r="G45" s="79" t="s">
        <v>290</v>
      </c>
      <c r="H45" s="79" t="s">
        <v>13</v>
      </c>
      <c r="I45" s="79" t="s">
        <v>13</v>
      </c>
      <c r="J45" s="79" t="s">
        <v>14</v>
      </c>
      <c r="K45" s="79" t="s">
        <v>12</v>
      </c>
      <c r="L45" s="79" t="s">
        <v>297</v>
      </c>
      <c r="M45" s="79" t="s">
        <v>292</v>
      </c>
      <c r="N45" s="81">
        <v>259000</v>
      </c>
      <c r="O45" s="93">
        <v>127</v>
      </c>
      <c r="P45" s="79" t="s">
        <v>568</v>
      </c>
      <c r="Q45" s="82">
        <v>259000</v>
      </c>
      <c r="R45" s="81">
        <f t="shared" si="1"/>
        <v>0</v>
      </c>
    </row>
    <row r="46" spans="2:18" ht="23.25" customHeight="1">
      <c r="B46" s="79" t="s">
        <v>349</v>
      </c>
      <c r="C46" s="79" t="s">
        <v>287</v>
      </c>
      <c r="D46" s="79" t="s">
        <v>288</v>
      </c>
      <c r="E46" s="79" t="s">
        <v>289</v>
      </c>
      <c r="F46" s="79" t="s">
        <v>167</v>
      </c>
      <c r="G46" s="79" t="s">
        <v>290</v>
      </c>
      <c r="H46" s="79" t="s">
        <v>13</v>
      </c>
      <c r="I46" s="79" t="s">
        <v>13</v>
      </c>
      <c r="J46" s="79" t="s">
        <v>14</v>
      </c>
      <c r="K46" s="79" t="s">
        <v>12</v>
      </c>
      <c r="L46" s="79" t="s">
        <v>297</v>
      </c>
      <c r="M46" s="79" t="s">
        <v>292</v>
      </c>
      <c r="N46" s="81">
        <v>29000</v>
      </c>
      <c r="O46" s="93">
        <v>133</v>
      </c>
      <c r="P46" s="79" t="s">
        <v>569</v>
      </c>
      <c r="Q46" s="82">
        <v>29000</v>
      </c>
      <c r="R46" s="81">
        <f t="shared" si="1"/>
        <v>0</v>
      </c>
    </row>
    <row r="47" spans="2:18" ht="23.25" customHeight="1">
      <c r="B47" s="79" t="s">
        <v>350</v>
      </c>
      <c r="C47" s="79" t="s">
        <v>287</v>
      </c>
      <c r="D47" s="79" t="s">
        <v>288</v>
      </c>
      <c r="E47" s="79" t="s">
        <v>289</v>
      </c>
      <c r="F47" s="79" t="s">
        <v>167</v>
      </c>
      <c r="G47" s="79" t="s">
        <v>290</v>
      </c>
      <c r="H47" s="79" t="s">
        <v>13</v>
      </c>
      <c r="I47" s="79" t="s">
        <v>13</v>
      </c>
      <c r="J47" s="79" t="s">
        <v>14</v>
      </c>
      <c r="K47" s="79" t="s">
        <v>12</v>
      </c>
      <c r="L47" s="79" t="s">
        <v>297</v>
      </c>
      <c r="M47" s="79" t="s">
        <v>292</v>
      </c>
      <c r="N47" s="81">
        <v>48000</v>
      </c>
      <c r="O47" s="93">
        <v>134</v>
      </c>
      <c r="P47" s="79" t="s">
        <v>570</v>
      </c>
      <c r="Q47" s="82">
        <v>48000</v>
      </c>
      <c r="R47" s="81">
        <f t="shared" si="1"/>
        <v>0</v>
      </c>
    </row>
    <row r="48" spans="2:18" ht="23.25" customHeight="1">
      <c r="B48" s="79" t="s">
        <v>351</v>
      </c>
      <c r="C48" s="79" t="s">
        <v>287</v>
      </c>
      <c r="D48" s="79" t="s">
        <v>288</v>
      </c>
      <c r="E48" s="79" t="s">
        <v>289</v>
      </c>
      <c r="F48" s="79" t="s">
        <v>167</v>
      </c>
      <c r="G48" s="79" t="s">
        <v>290</v>
      </c>
      <c r="H48" s="79" t="s">
        <v>13</v>
      </c>
      <c r="I48" s="79" t="s">
        <v>13</v>
      </c>
      <c r="J48" s="79" t="s">
        <v>14</v>
      </c>
      <c r="K48" s="79" t="s">
        <v>12</v>
      </c>
      <c r="L48" s="79" t="s">
        <v>297</v>
      </c>
      <c r="M48" s="79" t="s">
        <v>292</v>
      </c>
      <c r="N48" s="81">
        <v>93625</v>
      </c>
      <c r="O48" s="93">
        <v>135</v>
      </c>
      <c r="P48" s="79" t="s">
        <v>571</v>
      </c>
      <c r="Q48" s="82">
        <v>93625</v>
      </c>
      <c r="R48" s="81">
        <f t="shared" si="1"/>
        <v>0</v>
      </c>
    </row>
    <row r="49" spans="2:18" ht="23.25" customHeight="1">
      <c r="B49" s="79" t="s">
        <v>352</v>
      </c>
      <c r="C49" s="79" t="s">
        <v>287</v>
      </c>
      <c r="D49" s="79" t="s">
        <v>288</v>
      </c>
      <c r="E49" s="79" t="s">
        <v>289</v>
      </c>
      <c r="F49" s="79" t="s">
        <v>167</v>
      </c>
      <c r="G49" s="79" t="s">
        <v>290</v>
      </c>
      <c r="H49" s="79" t="s">
        <v>13</v>
      </c>
      <c r="I49" s="79" t="s">
        <v>13</v>
      </c>
      <c r="J49" s="79" t="s">
        <v>14</v>
      </c>
      <c r="K49" s="79" t="s">
        <v>12</v>
      </c>
      <c r="L49" s="79" t="s">
        <v>297</v>
      </c>
      <c r="M49" s="79" t="s">
        <v>292</v>
      </c>
      <c r="N49" s="81">
        <v>201250</v>
      </c>
      <c r="O49" s="93">
        <v>136</v>
      </c>
      <c r="P49" s="79" t="s">
        <v>572</v>
      </c>
      <c r="Q49" s="82">
        <v>201250</v>
      </c>
      <c r="R49" s="81">
        <f t="shared" si="1"/>
        <v>0</v>
      </c>
    </row>
    <row r="50" spans="2:18" ht="23.25" customHeight="1">
      <c r="B50" s="79" t="s">
        <v>353</v>
      </c>
      <c r="C50" s="79" t="s">
        <v>287</v>
      </c>
      <c r="D50" s="79" t="s">
        <v>288</v>
      </c>
      <c r="E50" s="79" t="s">
        <v>289</v>
      </c>
      <c r="F50" s="79" t="s">
        <v>167</v>
      </c>
      <c r="G50" s="79" t="s">
        <v>290</v>
      </c>
      <c r="H50" s="79" t="s">
        <v>13</v>
      </c>
      <c r="I50" s="79" t="s">
        <v>13</v>
      </c>
      <c r="J50" s="79" t="s">
        <v>14</v>
      </c>
      <c r="K50" s="79" t="s">
        <v>12</v>
      </c>
      <c r="L50" s="79" t="s">
        <v>297</v>
      </c>
      <c r="M50" s="79" t="s">
        <v>292</v>
      </c>
      <c r="N50" s="81">
        <v>216000</v>
      </c>
      <c r="O50" s="93">
        <v>137</v>
      </c>
      <c r="P50" s="79" t="s">
        <v>573</v>
      </c>
      <c r="Q50" s="82">
        <v>216000</v>
      </c>
      <c r="R50" s="81">
        <f t="shared" si="1"/>
        <v>0</v>
      </c>
    </row>
    <row r="51" spans="2:18" ht="23.25" customHeight="1">
      <c r="B51" s="79" t="s">
        <v>354</v>
      </c>
      <c r="C51" s="79" t="s">
        <v>287</v>
      </c>
      <c r="D51" s="79" t="s">
        <v>288</v>
      </c>
      <c r="E51" s="79" t="s">
        <v>289</v>
      </c>
      <c r="F51" s="79" t="s">
        <v>167</v>
      </c>
      <c r="G51" s="79" t="s">
        <v>290</v>
      </c>
      <c r="H51" s="79" t="s">
        <v>13</v>
      </c>
      <c r="I51" s="79" t="s">
        <v>13</v>
      </c>
      <c r="J51" s="79" t="s">
        <v>14</v>
      </c>
      <c r="K51" s="79" t="s">
        <v>12</v>
      </c>
      <c r="L51" s="79" t="s">
        <v>297</v>
      </c>
      <c r="M51" s="79" t="s">
        <v>292</v>
      </c>
      <c r="N51" s="81">
        <v>177000</v>
      </c>
      <c r="O51" s="93">
        <v>138</v>
      </c>
      <c r="P51" s="79" t="s">
        <v>574</v>
      </c>
      <c r="Q51" s="82">
        <v>177000</v>
      </c>
      <c r="R51" s="81">
        <f t="shared" si="1"/>
        <v>0</v>
      </c>
    </row>
    <row r="52" spans="2:18" ht="23.25" customHeight="1">
      <c r="B52" s="79" t="s">
        <v>355</v>
      </c>
      <c r="C52" s="79" t="s">
        <v>287</v>
      </c>
      <c r="D52" s="79" t="s">
        <v>288</v>
      </c>
      <c r="E52" s="79" t="s">
        <v>289</v>
      </c>
      <c r="F52" s="79" t="s">
        <v>167</v>
      </c>
      <c r="G52" s="79" t="s">
        <v>290</v>
      </c>
      <c r="H52" s="79" t="s">
        <v>13</v>
      </c>
      <c r="I52" s="79" t="s">
        <v>13</v>
      </c>
      <c r="J52" s="79" t="s">
        <v>14</v>
      </c>
      <c r="K52" s="79" t="s">
        <v>12</v>
      </c>
      <c r="L52" s="79" t="s">
        <v>297</v>
      </c>
      <c r="M52" s="79" t="s">
        <v>292</v>
      </c>
      <c r="N52" s="81">
        <v>103875</v>
      </c>
      <c r="O52" s="93">
        <v>139</v>
      </c>
      <c r="P52" s="79" t="s">
        <v>575</v>
      </c>
      <c r="Q52" s="82">
        <v>103875</v>
      </c>
      <c r="R52" s="81">
        <f t="shared" si="1"/>
        <v>0</v>
      </c>
    </row>
    <row r="53" spans="2:18" ht="23.25" customHeight="1">
      <c r="B53" s="79" t="s">
        <v>356</v>
      </c>
      <c r="C53" s="79" t="s">
        <v>287</v>
      </c>
      <c r="D53" s="79" t="s">
        <v>288</v>
      </c>
      <c r="E53" s="79" t="s">
        <v>289</v>
      </c>
      <c r="F53" s="79" t="s">
        <v>167</v>
      </c>
      <c r="G53" s="79" t="s">
        <v>290</v>
      </c>
      <c r="H53" s="79" t="s">
        <v>13</v>
      </c>
      <c r="I53" s="79" t="s">
        <v>13</v>
      </c>
      <c r="J53" s="79" t="s">
        <v>14</v>
      </c>
      <c r="K53" s="79" t="s">
        <v>12</v>
      </c>
      <c r="L53" s="79" t="s">
        <v>297</v>
      </c>
      <c r="M53" s="79" t="s">
        <v>292</v>
      </c>
      <c r="N53" s="81">
        <v>56000</v>
      </c>
      <c r="O53" s="93">
        <v>140</v>
      </c>
      <c r="P53" s="79" t="s">
        <v>576</v>
      </c>
      <c r="Q53" s="82">
        <v>56000</v>
      </c>
      <c r="R53" s="81">
        <f t="shared" si="1"/>
        <v>0</v>
      </c>
    </row>
    <row r="54" spans="2:18" ht="23.25" customHeight="1">
      <c r="B54" s="79" t="s">
        <v>357</v>
      </c>
      <c r="C54" s="79" t="s">
        <v>287</v>
      </c>
      <c r="D54" s="79" t="s">
        <v>358</v>
      </c>
      <c r="E54" s="79" t="s">
        <v>289</v>
      </c>
      <c r="F54" s="79" t="s">
        <v>167</v>
      </c>
      <c r="G54" s="79" t="s">
        <v>290</v>
      </c>
      <c r="H54" s="79" t="s">
        <v>13</v>
      </c>
      <c r="I54" s="79" t="s">
        <v>13</v>
      </c>
      <c r="J54" s="79" t="s">
        <v>14</v>
      </c>
      <c r="K54" s="79" t="s">
        <v>12</v>
      </c>
      <c r="L54" s="79" t="s">
        <v>297</v>
      </c>
      <c r="M54" s="79" t="s">
        <v>292</v>
      </c>
      <c r="N54" s="81">
        <v>16000</v>
      </c>
      <c r="O54" s="93">
        <v>141</v>
      </c>
      <c r="P54" s="79" t="s">
        <v>577</v>
      </c>
      <c r="Q54" s="82">
        <v>16000</v>
      </c>
      <c r="R54" s="81">
        <f t="shared" si="1"/>
        <v>0</v>
      </c>
    </row>
    <row r="55" spans="2:18" ht="23.25" customHeight="1">
      <c r="B55" s="79" t="s">
        <v>359</v>
      </c>
      <c r="C55" s="79" t="s">
        <v>287</v>
      </c>
      <c r="D55" s="79" t="s">
        <v>288</v>
      </c>
      <c r="E55" s="79" t="s">
        <v>289</v>
      </c>
      <c r="F55" s="79" t="s">
        <v>167</v>
      </c>
      <c r="G55" s="79" t="s">
        <v>290</v>
      </c>
      <c r="H55" s="79" t="s">
        <v>13</v>
      </c>
      <c r="I55" s="79" t="s">
        <v>13</v>
      </c>
      <c r="J55" s="79" t="s">
        <v>14</v>
      </c>
      <c r="K55" s="79" t="s">
        <v>12</v>
      </c>
      <c r="L55" s="79" t="s">
        <v>297</v>
      </c>
      <c r="M55" s="79" t="s">
        <v>292</v>
      </c>
      <c r="N55" s="81">
        <v>116000</v>
      </c>
      <c r="O55" s="93">
        <v>142</v>
      </c>
      <c r="P55" s="79" t="s">
        <v>578</v>
      </c>
      <c r="Q55" s="82">
        <v>116000</v>
      </c>
      <c r="R55" s="81">
        <f t="shared" si="1"/>
        <v>0</v>
      </c>
    </row>
    <row r="56" spans="2:18" ht="23.25" customHeight="1">
      <c r="B56" s="79" t="s">
        <v>360</v>
      </c>
      <c r="C56" s="79" t="s">
        <v>287</v>
      </c>
      <c r="D56" s="79" t="s">
        <v>288</v>
      </c>
      <c r="E56" s="79" t="s">
        <v>289</v>
      </c>
      <c r="F56" s="79" t="s">
        <v>167</v>
      </c>
      <c r="G56" s="79" t="s">
        <v>290</v>
      </c>
      <c r="H56" s="79" t="s">
        <v>13</v>
      </c>
      <c r="I56" s="79" t="s">
        <v>13</v>
      </c>
      <c r="J56" s="79" t="s">
        <v>14</v>
      </c>
      <c r="K56" s="79" t="s">
        <v>12</v>
      </c>
      <c r="L56" s="79" t="s">
        <v>297</v>
      </c>
      <c r="M56" s="79" t="s">
        <v>292</v>
      </c>
      <c r="N56" s="81">
        <v>156000</v>
      </c>
      <c r="O56" s="93">
        <v>143</v>
      </c>
      <c r="P56" s="79" t="s">
        <v>579</v>
      </c>
      <c r="Q56" s="82">
        <v>156000</v>
      </c>
      <c r="R56" s="81">
        <f t="shared" si="1"/>
        <v>0</v>
      </c>
    </row>
    <row r="57" spans="2:18" ht="23.25" customHeight="1">
      <c r="B57" s="79" t="s">
        <v>361</v>
      </c>
      <c r="C57" s="79" t="s">
        <v>287</v>
      </c>
      <c r="D57" s="79" t="s">
        <v>288</v>
      </c>
      <c r="E57" s="79" t="s">
        <v>289</v>
      </c>
      <c r="F57" s="79" t="s">
        <v>167</v>
      </c>
      <c r="G57" s="79" t="s">
        <v>290</v>
      </c>
      <c r="H57" s="79" t="s">
        <v>13</v>
      </c>
      <c r="I57" s="79" t="s">
        <v>13</v>
      </c>
      <c r="J57" s="79" t="s">
        <v>14</v>
      </c>
      <c r="K57" s="79" t="s">
        <v>12</v>
      </c>
      <c r="L57" s="79" t="s">
        <v>297</v>
      </c>
      <c r="M57" s="79" t="s">
        <v>292</v>
      </c>
      <c r="N57" s="81">
        <v>52000</v>
      </c>
      <c r="O57" s="93">
        <v>144</v>
      </c>
      <c r="P57" s="79" t="s">
        <v>580</v>
      </c>
      <c r="Q57" s="82">
        <v>52000</v>
      </c>
      <c r="R57" s="81">
        <f t="shared" si="1"/>
        <v>0</v>
      </c>
    </row>
    <row r="58" spans="2:18" ht="23.25" customHeight="1">
      <c r="B58" s="79" t="s">
        <v>362</v>
      </c>
      <c r="C58" s="79" t="s">
        <v>287</v>
      </c>
      <c r="D58" s="79" t="s">
        <v>288</v>
      </c>
      <c r="E58" s="79" t="s">
        <v>289</v>
      </c>
      <c r="F58" s="79" t="s">
        <v>167</v>
      </c>
      <c r="G58" s="79" t="s">
        <v>290</v>
      </c>
      <c r="H58" s="79" t="s">
        <v>13</v>
      </c>
      <c r="I58" s="79" t="s">
        <v>13</v>
      </c>
      <c r="J58" s="79" t="s">
        <v>14</v>
      </c>
      <c r="K58" s="79" t="s">
        <v>12</v>
      </c>
      <c r="L58" s="79" t="s">
        <v>297</v>
      </c>
      <c r="M58" s="79" t="s">
        <v>292</v>
      </c>
      <c r="N58" s="81">
        <v>6000</v>
      </c>
      <c r="O58" s="93">
        <v>145</v>
      </c>
      <c r="P58" s="79" t="s">
        <v>581</v>
      </c>
      <c r="Q58" s="82">
        <v>6000</v>
      </c>
      <c r="R58" s="81">
        <f t="shared" si="1"/>
        <v>0</v>
      </c>
    </row>
    <row r="59" spans="2:18" ht="23.25" customHeight="1">
      <c r="B59" s="79" t="s">
        <v>363</v>
      </c>
      <c r="C59" s="79" t="s">
        <v>287</v>
      </c>
      <c r="D59" s="79" t="s">
        <v>288</v>
      </c>
      <c r="E59" s="79" t="s">
        <v>289</v>
      </c>
      <c r="F59" s="79" t="s">
        <v>167</v>
      </c>
      <c r="G59" s="79" t="s">
        <v>290</v>
      </c>
      <c r="H59" s="79" t="s">
        <v>13</v>
      </c>
      <c r="I59" s="79" t="s">
        <v>13</v>
      </c>
      <c r="J59" s="79" t="s">
        <v>14</v>
      </c>
      <c r="K59" s="79" t="s">
        <v>12</v>
      </c>
      <c r="L59" s="79" t="s">
        <v>297</v>
      </c>
      <c r="M59" s="79" t="s">
        <v>292</v>
      </c>
      <c r="N59" s="81">
        <v>136000</v>
      </c>
      <c r="O59" s="93">
        <v>146</v>
      </c>
      <c r="P59" s="79" t="s">
        <v>582</v>
      </c>
      <c r="Q59" s="82">
        <v>136000</v>
      </c>
      <c r="R59" s="81">
        <f t="shared" si="1"/>
        <v>0</v>
      </c>
    </row>
    <row r="60" spans="2:18" ht="23.25" customHeight="1">
      <c r="B60" s="79" t="s">
        <v>364</v>
      </c>
      <c r="C60" s="79" t="s">
        <v>287</v>
      </c>
      <c r="D60" s="79" t="s">
        <v>288</v>
      </c>
      <c r="E60" s="79" t="s">
        <v>289</v>
      </c>
      <c r="F60" s="79" t="s">
        <v>167</v>
      </c>
      <c r="G60" s="79" t="s">
        <v>290</v>
      </c>
      <c r="H60" s="79" t="s">
        <v>13</v>
      </c>
      <c r="I60" s="79" t="s">
        <v>13</v>
      </c>
      <c r="J60" s="79" t="s">
        <v>14</v>
      </c>
      <c r="K60" s="79" t="s">
        <v>12</v>
      </c>
      <c r="L60" s="79" t="s">
        <v>297</v>
      </c>
      <c r="M60" s="79" t="s">
        <v>292</v>
      </c>
      <c r="N60" s="81">
        <v>204500</v>
      </c>
      <c r="O60" s="93">
        <v>147</v>
      </c>
      <c r="P60" s="79" t="s">
        <v>583</v>
      </c>
      <c r="Q60" s="82">
        <v>204500</v>
      </c>
      <c r="R60" s="81">
        <f t="shared" si="1"/>
        <v>0</v>
      </c>
    </row>
    <row r="61" spans="2:18" ht="23.25" customHeight="1">
      <c r="B61" s="79" t="s">
        <v>365</v>
      </c>
      <c r="C61" s="79" t="s">
        <v>287</v>
      </c>
      <c r="D61" s="79" t="s">
        <v>288</v>
      </c>
      <c r="E61" s="79" t="s">
        <v>289</v>
      </c>
      <c r="F61" s="79" t="s">
        <v>167</v>
      </c>
      <c r="G61" s="79" t="s">
        <v>290</v>
      </c>
      <c r="H61" s="79" t="s">
        <v>13</v>
      </c>
      <c r="I61" s="79" t="s">
        <v>13</v>
      </c>
      <c r="J61" s="79" t="s">
        <v>14</v>
      </c>
      <c r="K61" s="79" t="s">
        <v>12</v>
      </c>
      <c r="L61" s="79" t="s">
        <v>297</v>
      </c>
      <c r="M61" s="79" t="s">
        <v>292</v>
      </c>
      <c r="N61" s="81">
        <v>543500</v>
      </c>
      <c r="O61" s="93">
        <v>148</v>
      </c>
      <c r="P61" s="79" t="s">
        <v>584</v>
      </c>
      <c r="Q61" s="82">
        <v>543500</v>
      </c>
      <c r="R61" s="81">
        <f t="shared" si="1"/>
        <v>0</v>
      </c>
    </row>
    <row r="62" spans="2:18" ht="23.25" customHeight="1">
      <c r="B62" s="79" t="s">
        <v>366</v>
      </c>
      <c r="C62" s="79" t="s">
        <v>287</v>
      </c>
      <c r="D62" s="79" t="s">
        <v>288</v>
      </c>
      <c r="E62" s="79" t="s">
        <v>289</v>
      </c>
      <c r="F62" s="79" t="s">
        <v>167</v>
      </c>
      <c r="G62" s="79" t="s">
        <v>290</v>
      </c>
      <c r="H62" s="79" t="s">
        <v>13</v>
      </c>
      <c r="I62" s="79" t="s">
        <v>13</v>
      </c>
      <c r="J62" s="79" t="s">
        <v>14</v>
      </c>
      <c r="K62" s="79" t="s">
        <v>12</v>
      </c>
      <c r="L62" s="79" t="s">
        <v>297</v>
      </c>
      <c r="M62" s="79" t="s">
        <v>292</v>
      </c>
      <c r="N62" s="81">
        <v>558500</v>
      </c>
      <c r="O62" s="93">
        <v>149</v>
      </c>
      <c r="P62" s="79" t="s">
        <v>585</v>
      </c>
      <c r="Q62" s="82">
        <v>558500</v>
      </c>
      <c r="R62" s="81">
        <f t="shared" si="1"/>
        <v>0</v>
      </c>
    </row>
    <row r="63" spans="2:18" ht="23.25" customHeight="1">
      <c r="B63" s="79" t="s">
        <v>367</v>
      </c>
      <c r="C63" s="79" t="s">
        <v>287</v>
      </c>
      <c r="D63" s="79" t="s">
        <v>288</v>
      </c>
      <c r="E63" s="79" t="s">
        <v>289</v>
      </c>
      <c r="F63" s="79" t="s">
        <v>167</v>
      </c>
      <c r="G63" s="79" t="s">
        <v>290</v>
      </c>
      <c r="H63" s="79" t="s">
        <v>13</v>
      </c>
      <c r="I63" s="79" t="s">
        <v>13</v>
      </c>
      <c r="J63" s="79" t="s">
        <v>14</v>
      </c>
      <c r="K63" s="79" t="s">
        <v>12</v>
      </c>
      <c r="L63" s="79" t="s">
        <v>297</v>
      </c>
      <c r="M63" s="79" t="s">
        <v>292</v>
      </c>
      <c r="N63" s="81">
        <v>459500</v>
      </c>
      <c r="O63" s="93">
        <v>150</v>
      </c>
      <c r="P63" s="79" t="s">
        <v>586</v>
      </c>
      <c r="Q63" s="82">
        <v>459500</v>
      </c>
      <c r="R63" s="81">
        <f t="shared" si="1"/>
        <v>0</v>
      </c>
    </row>
    <row r="64" spans="2:18" ht="23.25" customHeight="1">
      <c r="B64" s="79" t="s">
        <v>368</v>
      </c>
      <c r="C64" s="79" t="s">
        <v>287</v>
      </c>
      <c r="D64" s="79" t="s">
        <v>288</v>
      </c>
      <c r="E64" s="79" t="s">
        <v>289</v>
      </c>
      <c r="F64" s="79" t="s">
        <v>167</v>
      </c>
      <c r="G64" s="79" t="s">
        <v>290</v>
      </c>
      <c r="H64" s="79" t="s">
        <v>13</v>
      </c>
      <c r="I64" s="79" t="s">
        <v>13</v>
      </c>
      <c r="J64" s="79" t="s">
        <v>14</v>
      </c>
      <c r="K64" s="79" t="s">
        <v>12</v>
      </c>
      <c r="L64" s="79" t="s">
        <v>297</v>
      </c>
      <c r="M64" s="79" t="s">
        <v>292</v>
      </c>
      <c r="N64" s="81">
        <v>222500</v>
      </c>
      <c r="O64" s="93">
        <v>151</v>
      </c>
      <c r="P64" s="79" t="s">
        <v>587</v>
      </c>
      <c r="Q64" s="82">
        <v>222500</v>
      </c>
      <c r="R64" s="81">
        <f t="shared" si="1"/>
        <v>0</v>
      </c>
    </row>
    <row r="65" spans="2:18" ht="23.25" customHeight="1">
      <c r="B65" s="79" t="s">
        <v>369</v>
      </c>
      <c r="C65" s="79" t="s">
        <v>287</v>
      </c>
      <c r="D65" s="79" t="s">
        <v>288</v>
      </c>
      <c r="E65" s="79" t="s">
        <v>289</v>
      </c>
      <c r="F65" s="79" t="s">
        <v>167</v>
      </c>
      <c r="G65" s="79" t="s">
        <v>290</v>
      </c>
      <c r="H65" s="79" t="s">
        <v>13</v>
      </c>
      <c r="I65" s="79" t="s">
        <v>13</v>
      </c>
      <c r="J65" s="79" t="s">
        <v>14</v>
      </c>
      <c r="K65" s="79" t="s">
        <v>12</v>
      </c>
      <c r="L65" s="79" t="s">
        <v>370</v>
      </c>
      <c r="M65" s="79" t="s">
        <v>292</v>
      </c>
      <c r="N65" s="81">
        <v>1988000</v>
      </c>
      <c r="O65" s="93">
        <v>152</v>
      </c>
      <c r="P65" s="79" t="s">
        <v>588</v>
      </c>
      <c r="Q65" s="82">
        <v>1988000</v>
      </c>
      <c r="R65" s="81">
        <f t="shared" si="1"/>
        <v>0</v>
      </c>
    </row>
    <row r="66" spans="2:18" ht="23.25" customHeight="1">
      <c r="B66" s="79" t="s">
        <v>371</v>
      </c>
      <c r="C66" s="79" t="s">
        <v>287</v>
      </c>
      <c r="D66" s="79" t="s">
        <v>288</v>
      </c>
      <c r="E66" s="79" t="s">
        <v>289</v>
      </c>
      <c r="F66" s="79" t="s">
        <v>167</v>
      </c>
      <c r="G66" s="79" t="s">
        <v>290</v>
      </c>
      <c r="H66" s="79" t="s">
        <v>13</v>
      </c>
      <c r="I66" s="79" t="s">
        <v>13</v>
      </c>
      <c r="J66" s="79" t="s">
        <v>14</v>
      </c>
      <c r="K66" s="79" t="s">
        <v>12</v>
      </c>
      <c r="L66" s="79" t="s">
        <v>370</v>
      </c>
      <c r="M66" s="79" t="s">
        <v>292</v>
      </c>
      <c r="N66" s="81">
        <v>3426500</v>
      </c>
      <c r="O66" s="93">
        <v>154</v>
      </c>
      <c r="P66" s="79" t="s">
        <v>589</v>
      </c>
      <c r="Q66" s="82">
        <v>3426500</v>
      </c>
      <c r="R66" s="81">
        <f t="shared" si="1"/>
        <v>0</v>
      </c>
    </row>
    <row r="67" spans="2:18" ht="23.25" customHeight="1">
      <c r="B67" s="79" t="s">
        <v>372</v>
      </c>
      <c r="C67" s="79" t="s">
        <v>287</v>
      </c>
      <c r="D67" s="79" t="s">
        <v>288</v>
      </c>
      <c r="E67" s="79" t="s">
        <v>289</v>
      </c>
      <c r="F67" s="79" t="s">
        <v>167</v>
      </c>
      <c r="G67" s="79" t="s">
        <v>290</v>
      </c>
      <c r="H67" s="79" t="s">
        <v>13</v>
      </c>
      <c r="I67" s="79" t="s">
        <v>13</v>
      </c>
      <c r="J67" s="79" t="s">
        <v>14</v>
      </c>
      <c r="K67" s="79" t="s">
        <v>12</v>
      </c>
      <c r="L67" s="79" t="s">
        <v>370</v>
      </c>
      <c r="M67" s="79" t="s">
        <v>292</v>
      </c>
      <c r="N67" s="81">
        <v>4771500</v>
      </c>
      <c r="O67" s="93">
        <v>156</v>
      </c>
      <c r="P67" s="79" t="s">
        <v>590</v>
      </c>
      <c r="Q67" s="82">
        <v>4771500</v>
      </c>
      <c r="R67" s="81">
        <f t="shared" si="1"/>
        <v>0</v>
      </c>
    </row>
    <row r="68" spans="2:18" ht="23.25" customHeight="1">
      <c r="B68" s="79" t="s">
        <v>373</v>
      </c>
      <c r="C68" s="79" t="s">
        <v>287</v>
      </c>
      <c r="D68" s="79" t="s">
        <v>288</v>
      </c>
      <c r="E68" s="79" t="s">
        <v>289</v>
      </c>
      <c r="F68" s="79" t="s">
        <v>167</v>
      </c>
      <c r="G68" s="79" t="s">
        <v>290</v>
      </c>
      <c r="H68" s="79" t="s">
        <v>13</v>
      </c>
      <c r="I68" s="79" t="s">
        <v>13</v>
      </c>
      <c r="J68" s="79" t="s">
        <v>14</v>
      </c>
      <c r="K68" s="79" t="s">
        <v>12</v>
      </c>
      <c r="L68" s="79" t="s">
        <v>370</v>
      </c>
      <c r="M68" s="79" t="s">
        <v>292</v>
      </c>
      <c r="N68" s="81">
        <v>4174000</v>
      </c>
      <c r="O68" s="93">
        <v>158</v>
      </c>
      <c r="P68" s="79" t="s">
        <v>591</v>
      </c>
      <c r="Q68" s="82">
        <v>4174000</v>
      </c>
      <c r="R68" s="81">
        <f t="shared" si="1"/>
        <v>0</v>
      </c>
    </row>
    <row r="69" spans="2:18" ht="23.25" customHeight="1">
      <c r="B69" s="79" t="s">
        <v>374</v>
      </c>
      <c r="C69" s="79" t="s">
        <v>287</v>
      </c>
      <c r="D69" s="79" t="s">
        <v>288</v>
      </c>
      <c r="E69" s="79" t="s">
        <v>289</v>
      </c>
      <c r="F69" s="79" t="s">
        <v>167</v>
      </c>
      <c r="G69" s="79" t="s">
        <v>290</v>
      </c>
      <c r="H69" s="79" t="s">
        <v>13</v>
      </c>
      <c r="I69" s="79" t="s">
        <v>13</v>
      </c>
      <c r="J69" s="79" t="s">
        <v>14</v>
      </c>
      <c r="K69" s="79" t="s">
        <v>12</v>
      </c>
      <c r="L69" s="79" t="s">
        <v>370</v>
      </c>
      <c r="M69" s="79" t="s">
        <v>292</v>
      </c>
      <c r="N69" s="81">
        <v>1794500</v>
      </c>
      <c r="O69" s="93">
        <v>160</v>
      </c>
      <c r="P69" s="79" t="s">
        <v>592</v>
      </c>
      <c r="Q69" s="82">
        <v>1794500</v>
      </c>
      <c r="R69" s="81">
        <f>N69-Q69</f>
        <v>0</v>
      </c>
    </row>
    <row r="70" spans="2:18" ht="23.25" customHeight="1">
      <c r="B70" s="79" t="s">
        <v>375</v>
      </c>
      <c r="C70" s="79" t="s">
        <v>287</v>
      </c>
      <c r="D70" s="79" t="s">
        <v>288</v>
      </c>
      <c r="E70" s="79" t="s">
        <v>289</v>
      </c>
      <c r="F70" s="79" t="s">
        <v>167</v>
      </c>
      <c r="G70" s="79" t="s">
        <v>290</v>
      </c>
      <c r="H70" s="79" t="s">
        <v>13</v>
      </c>
      <c r="I70" s="79" t="s">
        <v>13</v>
      </c>
      <c r="J70" s="79" t="s">
        <v>14</v>
      </c>
      <c r="K70" s="79" t="s">
        <v>12</v>
      </c>
      <c r="L70" s="79" t="s">
        <v>370</v>
      </c>
      <c r="M70" s="79" t="s">
        <v>292</v>
      </c>
      <c r="N70" s="81">
        <v>173000</v>
      </c>
      <c r="O70" s="93">
        <v>162</v>
      </c>
      <c r="P70" s="79" t="s">
        <v>593</v>
      </c>
      <c r="Q70" s="82">
        <v>173000</v>
      </c>
      <c r="R70" s="81">
        <f t="shared" ref="R70:R133" si="2">N70-Q70</f>
        <v>0</v>
      </c>
    </row>
    <row r="71" spans="2:18" ht="23.25" customHeight="1">
      <c r="B71" s="79" t="s">
        <v>376</v>
      </c>
      <c r="C71" s="79" t="s">
        <v>287</v>
      </c>
      <c r="D71" s="79" t="s">
        <v>288</v>
      </c>
      <c r="E71" s="79" t="s">
        <v>289</v>
      </c>
      <c r="F71" s="79" t="s">
        <v>167</v>
      </c>
      <c r="G71" s="79" t="s">
        <v>290</v>
      </c>
      <c r="H71" s="79" t="s">
        <v>13</v>
      </c>
      <c r="I71" s="79" t="s">
        <v>13</v>
      </c>
      <c r="J71" s="79" t="s">
        <v>14</v>
      </c>
      <c r="K71" s="79" t="s">
        <v>12</v>
      </c>
      <c r="L71" s="79" t="s">
        <v>370</v>
      </c>
      <c r="M71" s="79" t="s">
        <v>292</v>
      </c>
      <c r="N71" s="81">
        <v>220000</v>
      </c>
      <c r="O71" s="93">
        <v>165</v>
      </c>
      <c r="P71" s="79" t="s">
        <v>594</v>
      </c>
      <c r="Q71" s="82">
        <v>220000</v>
      </c>
      <c r="R71" s="81">
        <f t="shared" si="2"/>
        <v>0</v>
      </c>
    </row>
    <row r="72" spans="2:18" ht="23.25" customHeight="1">
      <c r="B72" s="79" t="s">
        <v>377</v>
      </c>
      <c r="C72" s="79" t="s">
        <v>287</v>
      </c>
      <c r="D72" s="79" t="s">
        <v>288</v>
      </c>
      <c r="E72" s="79" t="s">
        <v>289</v>
      </c>
      <c r="F72" s="79" t="s">
        <v>167</v>
      </c>
      <c r="G72" s="79" t="s">
        <v>290</v>
      </c>
      <c r="H72" s="79" t="s">
        <v>13</v>
      </c>
      <c r="I72" s="79" t="s">
        <v>13</v>
      </c>
      <c r="J72" s="79" t="s">
        <v>14</v>
      </c>
      <c r="K72" s="79" t="s">
        <v>12</v>
      </c>
      <c r="L72" s="79" t="s">
        <v>370</v>
      </c>
      <c r="M72" s="79" t="s">
        <v>292</v>
      </c>
      <c r="N72" s="81">
        <v>553500</v>
      </c>
      <c r="O72" s="93">
        <v>167</v>
      </c>
      <c r="P72" s="79" t="s">
        <v>595</v>
      </c>
      <c r="Q72" s="82">
        <v>553500</v>
      </c>
      <c r="R72" s="81">
        <f t="shared" si="2"/>
        <v>0</v>
      </c>
    </row>
    <row r="73" spans="2:18" ht="23.25" customHeight="1">
      <c r="B73" s="79" t="s">
        <v>378</v>
      </c>
      <c r="C73" s="79" t="s">
        <v>287</v>
      </c>
      <c r="D73" s="79" t="s">
        <v>288</v>
      </c>
      <c r="E73" s="79" t="s">
        <v>289</v>
      </c>
      <c r="F73" s="79" t="s">
        <v>167</v>
      </c>
      <c r="G73" s="79" t="s">
        <v>290</v>
      </c>
      <c r="H73" s="79" t="s">
        <v>13</v>
      </c>
      <c r="I73" s="79" t="s">
        <v>13</v>
      </c>
      <c r="J73" s="79" t="s">
        <v>14</v>
      </c>
      <c r="K73" s="79" t="s">
        <v>12</v>
      </c>
      <c r="L73" s="79" t="s">
        <v>370</v>
      </c>
      <c r="M73" s="79" t="s">
        <v>292</v>
      </c>
      <c r="N73" s="81">
        <v>712750</v>
      </c>
      <c r="O73" s="93">
        <v>169</v>
      </c>
      <c r="P73" s="79" t="s">
        <v>596</v>
      </c>
      <c r="Q73" s="82">
        <v>712750</v>
      </c>
      <c r="R73" s="81">
        <f t="shared" si="2"/>
        <v>0</v>
      </c>
    </row>
    <row r="74" spans="2:18" ht="23.25" customHeight="1">
      <c r="B74" s="79" t="s">
        <v>379</v>
      </c>
      <c r="C74" s="79" t="s">
        <v>287</v>
      </c>
      <c r="D74" s="79" t="s">
        <v>288</v>
      </c>
      <c r="E74" s="79" t="s">
        <v>289</v>
      </c>
      <c r="F74" s="79" t="s">
        <v>167</v>
      </c>
      <c r="G74" s="79" t="s">
        <v>290</v>
      </c>
      <c r="H74" s="79" t="s">
        <v>13</v>
      </c>
      <c r="I74" s="79" t="s">
        <v>13</v>
      </c>
      <c r="J74" s="79" t="s">
        <v>14</v>
      </c>
      <c r="K74" s="79" t="s">
        <v>12</v>
      </c>
      <c r="L74" s="79" t="s">
        <v>370</v>
      </c>
      <c r="M74" s="79" t="s">
        <v>292</v>
      </c>
      <c r="N74" s="81">
        <v>1273125</v>
      </c>
      <c r="O74" s="93">
        <v>170</v>
      </c>
      <c r="P74" s="79" t="s">
        <v>597</v>
      </c>
      <c r="Q74" s="82">
        <v>1273125</v>
      </c>
      <c r="R74" s="81">
        <f t="shared" si="2"/>
        <v>0</v>
      </c>
    </row>
    <row r="75" spans="2:18" ht="23.25" customHeight="1">
      <c r="B75" s="79" t="s">
        <v>380</v>
      </c>
      <c r="C75" s="79" t="s">
        <v>287</v>
      </c>
      <c r="D75" s="79" t="s">
        <v>288</v>
      </c>
      <c r="E75" s="79" t="s">
        <v>289</v>
      </c>
      <c r="F75" s="79" t="s">
        <v>167</v>
      </c>
      <c r="G75" s="79" t="s">
        <v>290</v>
      </c>
      <c r="H75" s="79" t="s">
        <v>13</v>
      </c>
      <c r="I75" s="79" t="s">
        <v>13</v>
      </c>
      <c r="J75" s="79" t="s">
        <v>14</v>
      </c>
      <c r="K75" s="79" t="s">
        <v>12</v>
      </c>
      <c r="L75" s="79" t="s">
        <v>370</v>
      </c>
      <c r="M75" s="79" t="s">
        <v>292</v>
      </c>
      <c r="N75" s="81">
        <v>1264187.5</v>
      </c>
      <c r="O75" s="93">
        <v>171</v>
      </c>
      <c r="P75" s="79" t="s">
        <v>598</v>
      </c>
      <c r="Q75" s="82">
        <v>1264187.5</v>
      </c>
      <c r="R75" s="81">
        <f t="shared" si="2"/>
        <v>0</v>
      </c>
    </row>
    <row r="76" spans="2:18" ht="23.25" customHeight="1">
      <c r="B76" s="79" t="s">
        <v>381</v>
      </c>
      <c r="C76" s="79" t="s">
        <v>287</v>
      </c>
      <c r="D76" s="79" t="s">
        <v>288</v>
      </c>
      <c r="E76" s="79" t="s">
        <v>289</v>
      </c>
      <c r="F76" s="79" t="s">
        <v>167</v>
      </c>
      <c r="G76" s="79" t="s">
        <v>290</v>
      </c>
      <c r="H76" s="79" t="s">
        <v>13</v>
      </c>
      <c r="I76" s="79" t="s">
        <v>13</v>
      </c>
      <c r="J76" s="79" t="s">
        <v>14</v>
      </c>
      <c r="K76" s="79" t="s">
        <v>12</v>
      </c>
      <c r="L76" s="79" t="s">
        <v>370</v>
      </c>
      <c r="M76" s="79" t="s">
        <v>292</v>
      </c>
      <c r="N76" s="81">
        <v>1036125</v>
      </c>
      <c r="O76" s="93">
        <v>172</v>
      </c>
      <c r="P76" s="79" t="s">
        <v>599</v>
      </c>
      <c r="Q76" s="82">
        <v>1036125</v>
      </c>
      <c r="R76" s="81">
        <f t="shared" si="2"/>
        <v>0</v>
      </c>
    </row>
    <row r="77" spans="2:18" ht="23.25" customHeight="1">
      <c r="B77" s="79" t="s">
        <v>382</v>
      </c>
      <c r="C77" s="79" t="s">
        <v>287</v>
      </c>
      <c r="D77" s="79" t="s">
        <v>288</v>
      </c>
      <c r="E77" s="79" t="s">
        <v>289</v>
      </c>
      <c r="F77" s="79" t="s">
        <v>167</v>
      </c>
      <c r="G77" s="79" t="s">
        <v>290</v>
      </c>
      <c r="H77" s="79" t="s">
        <v>13</v>
      </c>
      <c r="I77" s="79" t="s">
        <v>13</v>
      </c>
      <c r="J77" s="79" t="s">
        <v>14</v>
      </c>
      <c r="K77" s="79" t="s">
        <v>12</v>
      </c>
      <c r="L77" s="79" t="s">
        <v>370</v>
      </c>
      <c r="M77" s="79" t="s">
        <v>292</v>
      </c>
      <c r="N77" s="81">
        <v>600500</v>
      </c>
      <c r="O77" s="93">
        <v>173</v>
      </c>
      <c r="P77" s="79" t="s">
        <v>600</v>
      </c>
      <c r="Q77" s="82">
        <v>600500</v>
      </c>
      <c r="R77" s="81">
        <f t="shared" si="2"/>
        <v>0</v>
      </c>
    </row>
    <row r="78" spans="2:18" ht="23.25" customHeight="1">
      <c r="B78" s="79" t="s">
        <v>383</v>
      </c>
      <c r="C78" s="79" t="s">
        <v>287</v>
      </c>
      <c r="D78" s="79" t="s">
        <v>288</v>
      </c>
      <c r="E78" s="79" t="s">
        <v>289</v>
      </c>
      <c r="F78" s="79" t="s">
        <v>167</v>
      </c>
      <c r="G78" s="79" t="s">
        <v>290</v>
      </c>
      <c r="H78" s="79" t="s">
        <v>13</v>
      </c>
      <c r="I78" s="79" t="s">
        <v>13</v>
      </c>
      <c r="J78" s="79" t="s">
        <v>14</v>
      </c>
      <c r="K78" s="79" t="s">
        <v>12</v>
      </c>
      <c r="L78" s="79" t="s">
        <v>370</v>
      </c>
      <c r="M78" s="79" t="s">
        <v>292</v>
      </c>
      <c r="N78" s="81">
        <v>1577750</v>
      </c>
      <c r="O78" s="93">
        <v>174</v>
      </c>
      <c r="P78" s="79" t="s">
        <v>601</v>
      </c>
      <c r="Q78" s="82">
        <v>1577750</v>
      </c>
      <c r="R78" s="81">
        <f t="shared" si="2"/>
        <v>0</v>
      </c>
    </row>
    <row r="79" spans="2:18" ht="23.25" customHeight="1">
      <c r="B79" s="79" t="s">
        <v>384</v>
      </c>
      <c r="C79" s="79" t="s">
        <v>287</v>
      </c>
      <c r="D79" s="79" t="s">
        <v>288</v>
      </c>
      <c r="E79" s="79" t="s">
        <v>289</v>
      </c>
      <c r="F79" s="79" t="s">
        <v>167</v>
      </c>
      <c r="G79" s="79" t="s">
        <v>290</v>
      </c>
      <c r="H79" s="79" t="s">
        <v>13</v>
      </c>
      <c r="I79" s="79" t="s">
        <v>13</v>
      </c>
      <c r="J79" s="79" t="s">
        <v>14</v>
      </c>
      <c r="K79" s="79" t="s">
        <v>12</v>
      </c>
      <c r="L79" s="79" t="s">
        <v>370</v>
      </c>
      <c r="M79" s="79" t="s">
        <v>292</v>
      </c>
      <c r="N79" s="81">
        <v>1211250</v>
      </c>
      <c r="O79" s="93">
        <v>176</v>
      </c>
      <c r="P79" s="79" t="s">
        <v>602</v>
      </c>
      <c r="Q79" s="82">
        <v>1211250</v>
      </c>
      <c r="R79" s="81">
        <f t="shared" si="2"/>
        <v>0</v>
      </c>
    </row>
    <row r="80" spans="2:18" ht="23.25" customHeight="1">
      <c r="B80" s="79" t="s">
        <v>385</v>
      </c>
      <c r="C80" s="79" t="s">
        <v>287</v>
      </c>
      <c r="D80" s="79" t="s">
        <v>288</v>
      </c>
      <c r="E80" s="79" t="s">
        <v>289</v>
      </c>
      <c r="F80" s="79" t="s">
        <v>167</v>
      </c>
      <c r="G80" s="79" t="s">
        <v>290</v>
      </c>
      <c r="H80" s="79" t="s">
        <v>13</v>
      </c>
      <c r="I80" s="79" t="s">
        <v>13</v>
      </c>
      <c r="J80" s="79" t="s">
        <v>14</v>
      </c>
      <c r="K80" s="79" t="s">
        <v>12</v>
      </c>
      <c r="L80" s="79" t="s">
        <v>370</v>
      </c>
      <c r="M80" s="79" t="s">
        <v>292</v>
      </c>
      <c r="N80" s="81">
        <v>1154875</v>
      </c>
      <c r="O80" s="93">
        <v>178</v>
      </c>
      <c r="P80" s="79" t="s">
        <v>603</v>
      </c>
      <c r="Q80" s="82">
        <v>1154875</v>
      </c>
      <c r="R80" s="81">
        <f t="shared" si="2"/>
        <v>0</v>
      </c>
    </row>
    <row r="81" spans="2:18" ht="23.25" customHeight="1">
      <c r="B81" s="79" t="s">
        <v>386</v>
      </c>
      <c r="C81" s="79" t="s">
        <v>287</v>
      </c>
      <c r="D81" s="79" t="s">
        <v>288</v>
      </c>
      <c r="E81" s="79" t="s">
        <v>289</v>
      </c>
      <c r="F81" s="79" t="s">
        <v>167</v>
      </c>
      <c r="G81" s="79" t="s">
        <v>290</v>
      </c>
      <c r="H81" s="79" t="s">
        <v>13</v>
      </c>
      <c r="I81" s="79" t="s">
        <v>13</v>
      </c>
      <c r="J81" s="79" t="s">
        <v>14</v>
      </c>
      <c r="K81" s="79" t="s">
        <v>12</v>
      </c>
      <c r="L81" s="79" t="s">
        <v>370</v>
      </c>
      <c r="M81" s="79" t="s">
        <v>292</v>
      </c>
      <c r="N81" s="81">
        <v>2687375</v>
      </c>
      <c r="O81" s="93">
        <v>180</v>
      </c>
      <c r="P81" s="79" t="s">
        <v>604</v>
      </c>
      <c r="Q81" s="82">
        <v>2687375</v>
      </c>
      <c r="R81" s="81">
        <f t="shared" si="2"/>
        <v>0</v>
      </c>
    </row>
    <row r="82" spans="2:18" ht="23.25" customHeight="1">
      <c r="B82" s="79" t="s">
        <v>387</v>
      </c>
      <c r="C82" s="79" t="s">
        <v>287</v>
      </c>
      <c r="D82" s="79" t="s">
        <v>288</v>
      </c>
      <c r="E82" s="79" t="s">
        <v>289</v>
      </c>
      <c r="F82" s="79" t="s">
        <v>167</v>
      </c>
      <c r="G82" s="79" t="s">
        <v>290</v>
      </c>
      <c r="H82" s="79" t="s">
        <v>13</v>
      </c>
      <c r="I82" s="79" t="s">
        <v>13</v>
      </c>
      <c r="J82" s="79" t="s">
        <v>14</v>
      </c>
      <c r="K82" s="79" t="s">
        <v>12</v>
      </c>
      <c r="L82" s="79" t="s">
        <v>370</v>
      </c>
      <c r="M82" s="79" t="s">
        <v>292</v>
      </c>
      <c r="N82" s="81">
        <v>2139375</v>
      </c>
      <c r="O82" s="93">
        <v>182</v>
      </c>
      <c r="P82" s="79" t="s">
        <v>605</v>
      </c>
      <c r="Q82" s="82">
        <v>2139375</v>
      </c>
      <c r="R82" s="81">
        <f t="shared" si="2"/>
        <v>0</v>
      </c>
    </row>
    <row r="83" spans="2:18" ht="23.25" customHeight="1">
      <c r="B83" s="79" t="s">
        <v>388</v>
      </c>
      <c r="C83" s="79" t="s">
        <v>287</v>
      </c>
      <c r="D83" s="79" t="s">
        <v>288</v>
      </c>
      <c r="E83" s="79" t="s">
        <v>289</v>
      </c>
      <c r="F83" s="79" t="s">
        <v>167</v>
      </c>
      <c r="G83" s="79" t="s">
        <v>290</v>
      </c>
      <c r="H83" s="79" t="s">
        <v>13</v>
      </c>
      <c r="I83" s="79" t="s">
        <v>13</v>
      </c>
      <c r="J83" s="79" t="s">
        <v>14</v>
      </c>
      <c r="K83" s="79" t="s">
        <v>12</v>
      </c>
      <c r="L83" s="79" t="s">
        <v>370</v>
      </c>
      <c r="M83" s="79" t="s">
        <v>292</v>
      </c>
      <c r="N83" s="81">
        <v>328500</v>
      </c>
      <c r="O83" s="93">
        <v>184</v>
      </c>
      <c r="P83" s="79" t="s">
        <v>606</v>
      </c>
      <c r="Q83" s="82">
        <v>328500</v>
      </c>
      <c r="R83" s="81">
        <f t="shared" si="2"/>
        <v>0</v>
      </c>
    </row>
    <row r="84" spans="2:18" ht="23.25" customHeight="1">
      <c r="B84" s="79" t="s">
        <v>389</v>
      </c>
      <c r="C84" s="79" t="s">
        <v>287</v>
      </c>
      <c r="D84" s="79" t="s">
        <v>288</v>
      </c>
      <c r="E84" s="79" t="s">
        <v>289</v>
      </c>
      <c r="F84" s="79" t="s">
        <v>167</v>
      </c>
      <c r="G84" s="79" t="s">
        <v>290</v>
      </c>
      <c r="H84" s="79" t="s">
        <v>13</v>
      </c>
      <c r="I84" s="79" t="s">
        <v>13</v>
      </c>
      <c r="J84" s="79" t="s">
        <v>14</v>
      </c>
      <c r="K84" s="79" t="s">
        <v>12</v>
      </c>
      <c r="L84" s="79" t="s">
        <v>370</v>
      </c>
      <c r="M84" s="79" t="s">
        <v>292</v>
      </c>
      <c r="N84" s="81">
        <v>2284750</v>
      </c>
      <c r="O84" s="93">
        <v>185</v>
      </c>
      <c r="P84" s="79" t="s">
        <v>607</v>
      </c>
      <c r="Q84" s="82">
        <v>2284750</v>
      </c>
      <c r="R84" s="81">
        <f t="shared" si="2"/>
        <v>0</v>
      </c>
    </row>
    <row r="85" spans="2:18" ht="23.25" customHeight="1">
      <c r="B85" s="79" t="s">
        <v>390</v>
      </c>
      <c r="C85" s="79" t="s">
        <v>287</v>
      </c>
      <c r="D85" s="79" t="s">
        <v>288</v>
      </c>
      <c r="E85" s="79" t="s">
        <v>289</v>
      </c>
      <c r="F85" s="79" t="s">
        <v>167</v>
      </c>
      <c r="G85" s="79" t="s">
        <v>290</v>
      </c>
      <c r="H85" s="79" t="s">
        <v>13</v>
      </c>
      <c r="I85" s="79" t="s">
        <v>13</v>
      </c>
      <c r="J85" s="79" t="s">
        <v>14</v>
      </c>
      <c r="K85" s="79" t="s">
        <v>12</v>
      </c>
      <c r="L85" s="79" t="s">
        <v>370</v>
      </c>
      <c r="M85" s="79" t="s">
        <v>292</v>
      </c>
      <c r="N85" s="81">
        <v>1761250</v>
      </c>
      <c r="O85" s="93">
        <v>186</v>
      </c>
      <c r="P85" s="79" t="s">
        <v>608</v>
      </c>
      <c r="Q85" s="82">
        <v>1761250</v>
      </c>
      <c r="R85" s="81">
        <f t="shared" si="2"/>
        <v>0</v>
      </c>
    </row>
    <row r="86" spans="2:18" ht="23.25" customHeight="1">
      <c r="B86" s="79" t="s">
        <v>391</v>
      </c>
      <c r="C86" s="79" t="s">
        <v>287</v>
      </c>
      <c r="D86" s="79" t="s">
        <v>288</v>
      </c>
      <c r="E86" s="79" t="s">
        <v>289</v>
      </c>
      <c r="F86" s="79" t="s">
        <v>167</v>
      </c>
      <c r="G86" s="79" t="s">
        <v>290</v>
      </c>
      <c r="H86" s="79" t="s">
        <v>13</v>
      </c>
      <c r="I86" s="79" t="s">
        <v>13</v>
      </c>
      <c r="J86" s="79" t="s">
        <v>14</v>
      </c>
      <c r="K86" s="79" t="s">
        <v>12</v>
      </c>
      <c r="L86" s="79" t="s">
        <v>370</v>
      </c>
      <c r="M86" s="79" t="s">
        <v>292</v>
      </c>
      <c r="N86" s="81">
        <v>1128500</v>
      </c>
      <c r="O86" s="93">
        <v>187</v>
      </c>
      <c r="P86" s="79" t="s">
        <v>609</v>
      </c>
      <c r="Q86" s="82">
        <v>1128500</v>
      </c>
      <c r="R86" s="81">
        <f t="shared" si="2"/>
        <v>0</v>
      </c>
    </row>
    <row r="87" spans="2:18" ht="23.25" customHeight="1">
      <c r="B87" s="79" t="s">
        <v>392</v>
      </c>
      <c r="C87" s="79" t="s">
        <v>287</v>
      </c>
      <c r="D87" s="79" t="s">
        <v>288</v>
      </c>
      <c r="E87" s="79" t="s">
        <v>289</v>
      </c>
      <c r="F87" s="79" t="s">
        <v>167</v>
      </c>
      <c r="G87" s="79" t="s">
        <v>290</v>
      </c>
      <c r="H87" s="79" t="s">
        <v>13</v>
      </c>
      <c r="I87" s="79" t="s">
        <v>13</v>
      </c>
      <c r="J87" s="79" t="s">
        <v>14</v>
      </c>
      <c r="K87" s="79" t="s">
        <v>12</v>
      </c>
      <c r="L87" s="79" t="s">
        <v>370</v>
      </c>
      <c r="M87" s="79" t="s">
        <v>292</v>
      </c>
      <c r="N87" s="81">
        <v>444500</v>
      </c>
      <c r="O87" s="93">
        <v>188</v>
      </c>
      <c r="P87" s="79" t="s">
        <v>610</v>
      </c>
      <c r="Q87" s="82">
        <v>444500</v>
      </c>
      <c r="R87" s="81">
        <f t="shared" si="2"/>
        <v>0</v>
      </c>
    </row>
    <row r="88" spans="2:18" ht="23.25" customHeight="1">
      <c r="B88" s="79" t="s">
        <v>393</v>
      </c>
      <c r="C88" s="79" t="s">
        <v>287</v>
      </c>
      <c r="D88" s="79" t="s">
        <v>288</v>
      </c>
      <c r="E88" s="79" t="s">
        <v>289</v>
      </c>
      <c r="F88" s="79" t="s">
        <v>167</v>
      </c>
      <c r="G88" s="79" t="s">
        <v>290</v>
      </c>
      <c r="H88" s="79" t="s">
        <v>13</v>
      </c>
      <c r="I88" s="79" t="s">
        <v>13</v>
      </c>
      <c r="J88" s="79" t="s">
        <v>14</v>
      </c>
      <c r="K88" s="79" t="s">
        <v>12</v>
      </c>
      <c r="L88" s="79" t="s">
        <v>370</v>
      </c>
      <c r="M88" s="79" t="s">
        <v>292</v>
      </c>
      <c r="N88" s="81">
        <v>316500</v>
      </c>
      <c r="O88" s="93">
        <v>190</v>
      </c>
      <c r="P88" s="79" t="s">
        <v>611</v>
      </c>
      <c r="Q88" s="82">
        <v>316500</v>
      </c>
      <c r="R88" s="81">
        <f t="shared" si="2"/>
        <v>0</v>
      </c>
    </row>
    <row r="89" spans="2:18" ht="23.25" customHeight="1">
      <c r="B89" s="79" t="s">
        <v>394</v>
      </c>
      <c r="C89" s="79" t="s">
        <v>287</v>
      </c>
      <c r="D89" s="79" t="s">
        <v>288</v>
      </c>
      <c r="E89" s="79" t="s">
        <v>289</v>
      </c>
      <c r="F89" s="79" t="s">
        <v>167</v>
      </c>
      <c r="G89" s="79" t="s">
        <v>290</v>
      </c>
      <c r="H89" s="79" t="s">
        <v>13</v>
      </c>
      <c r="I89" s="79" t="s">
        <v>13</v>
      </c>
      <c r="J89" s="79" t="s">
        <v>14</v>
      </c>
      <c r="K89" s="79" t="s">
        <v>12</v>
      </c>
      <c r="L89" s="79" t="s">
        <v>370</v>
      </c>
      <c r="M89" s="79" t="s">
        <v>292</v>
      </c>
      <c r="N89" s="81">
        <v>292000</v>
      </c>
      <c r="O89" s="93">
        <v>192</v>
      </c>
      <c r="P89" s="79" t="s">
        <v>612</v>
      </c>
      <c r="Q89" s="82">
        <v>292000</v>
      </c>
      <c r="R89" s="81">
        <f t="shared" si="2"/>
        <v>0</v>
      </c>
    </row>
    <row r="90" spans="2:18" ht="23.25" customHeight="1">
      <c r="B90" s="79" t="s">
        <v>395</v>
      </c>
      <c r="C90" s="79" t="s">
        <v>287</v>
      </c>
      <c r="D90" s="79" t="s">
        <v>288</v>
      </c>
      <c r="E90" s="79" t="s">
        <v>289</v>
      </c>
      <c r="F90" s="79" t="s">
        <v>167</v>
      </c>
      <c r="G90" s="79" t="s">
        <v>290</v>
      </c>
      <c r="H90" s="79" t="s">
        <v>13</v>
      </c>
      <c r="I90" s="79" t="s">
        <v>13</v>
      </c>
      <c r="J90" s="79" t="s">
        <v>14</v>
      </c>
      <c r="K90" s="79" t="s">
        <v>12</v>
      </c>
      <c r="L90" s="79" t="s">
        <v>370</v>
      </c>
      <c r="M90" s="79" t="s">
        <v>292</v>
      </c>
      <c r="N90" s="81">
        <v>252000</v>
      </c>
      <c r="O90" s="93">
        <v>194</v>
      </c>
      <c r="P90" s="79" t="s">
        <v>613</v>
      </c>
      <c r="Q90" s="82">
        <v>252000</v>
      </c>
      <c r="R90" s="81">
        <f t="shared" si="2"/>
        <v>0</v>
      </c>
    </row>
    <row r="91" spans="2:18" ht="23.25" customHeight="1">
      <c r="B91" s="79" t="s">
        <v>396</v>
      </c>
      <c r="C91" s="79" t="s">
        <v>287</v>
      </c>
      <c r="D91" s="79" t="s">
        <v>288</v>
      </c>
      <c r="E91" s="79" t="s">
        <v>289</v>
      </c>
      <c r="F91" s="79" t="s">
        <v>167</v>
      </c>
      <c r="G91" s="79" t="s">
        <v>290</v>
      </c>
      <c r="H91" s="79" t="s">
        <v>13</v>
      </c>
      <c r="I91" s="79" t="s">
        <v>13</v>
      </c>
      <c r="J91" s="79" t="s">
        <v>14</v>
      </c>
      <c r="K91" s="79" t="s">
        <v>12</v>
      </c>
      <c r="L91" s="79" t="s">
        <v>370</v>
      </c>
      <c r="M91" s="79" t="s">
        <v>292</v>
      </c>
      <c r="N91" s="81">
        <v>497625</v>
      </c>
      <c r="O91" s="93">
        <v>199</v>
      </c>
      <c r="P91" s="79" t="s">
        <v>618</v>
      </c>
      <c r="Q91" s="82">
        <v>497625</v>
      </c>
      <c r="R91" s="81">
        <f t="shared" si="2"/>
        <v>0</v>
      </c>
    </row>
    <row r="92" spans="2:18" ht="23.25" customHeight="1">
      <c r="B92" s="79" t="s">
        <v>397</v>
      </c>
      <c r="C92" s="79" t="s">
        <v>287</v>
      </c>
      <c r="D92" s="79" t="s">
        <v>288</v>
      </c>
      <c r="E92" s="79" t="s">
        <v>289</v>
      </c>
      <c r="F92" s="79" t="s">
        <v>167</v>
      </c>
      <c r="G92" s="79" t="s">
        <v>290</v>
      </c>
      <c r="H92" s="79" t="s">
        <v>13</v>
      </c>
      <c r="I92" s="79" t="s">
        <v>13</v>
      </c>
      <c r="J92" s="79" t="s">
        <v>14</v>
      </c>
      <c r="K92" s="79" t="s">
        <v>12</v>
      </c>
      <c r="L92" s="79" t="s">
        <v>370</v>
      </c>
      <c r="M92" s="79" t="s">
        <v>292</v>
      </c>
      <c r="N92" s="81">
        <v>308875</v>
      </c>
      <c r="O92" s="93">
        <v>201</v>
      </c>
      <c r="P92" s="79" t="s">
        <v>619</v>
      </c>
      <c r="Q92" s="82">
        <v>308875</v>
      </c>
      <c r="R92" s="81">
        <f t="shared" si="2"/>
        <v>0</v>
      </c>
    </row>
    <row r="93" spans="2:18" ht="23.25" customHeight="1">
      <c r="B93" s="79" t="s">
        <v>398</v>
      </c>
      <c r="C93" s="79" t="s">
        <v>287</v>
      </c>
      <c r="D93" s="79" t="s">
        <v>288</v>
      </c>
      <c r="E93" s="79" t="s">
        <v>289</v>
      </c>
      <c r="F93" s="79" t="s">
        <v>167</v>
      </c>
      <c r="G93" s="79" t="s">
        <v>290</v>
      </c>
      <c r="H93" s="79" t="s">
        <v>13</v>
      </c>
      <c r="I93" s="79" t="s">
        <v>13</v>
      </c>
      <c r="J93" s="79" t="s">
        <v>14</v>
      </c>
      <c r="K93" s="79" t="s">
        <v>12</v>
      </c>
      <c r="L93" s="79" t="s">
        <v>370</v>
      </c>
      <c r="M93" s="79" t="s">
        <v>292</v>
      </c>
      <c r="N93" s="81">
        <v>402500</v>
      </c>
      <c r="O93" s="93">
        <v>203</v>
      </c>
      <c r="P93" s="79" t="s">
        <v>620</v>
      </c>
      <c r="Q93" s="82">
        <v>402500</v>
      </c>
      <c r="R93" s="81">
        <f t="shared" si="2"/>
        <v>0</v>
      </c>
    </row>
    <row r="94" spans="2:18" ht="23.25" customHeight="1">
      <c r="B94" s="79" t="s">
        <v>399</v>
      </c>
      <c r="C94" s="79" t="s">
        <v>287</v>
      </c>
      <c r="D94" s="79" t="s">
        <v>288</v>
      </c>
      <c r="E94" s="79" t="s">
        <v>289</v>
      </c>
      <c r="F94" s="79" t="s">
        <v>167</v>
      </c>
      <c r="G94" s="79" t="s">
        <v>290</v>
      </c>
      <c r="H94" s="79" t="s">
        <v>13</v>
      </c>
      <c r="I94" s="79" t="s">
        <v>13</v>
      </c>
      <c r="J94" s="79" t="s">
        <v>14</v>
      </c>
      <c r="K94" s="79" t="s">
        <v>12</v>
      </c>
      <c r="L94" s="79" t="s">
        <v>370</v>
      </c>
      <c r="M94" s="79" t="s">
        <v>292</v>
      </c>
      <c r="N94" s="81">
        <v>635375</v>
      </c>
      <c r="O94" s="93">
        <v>205</v>
      </c>
      <c r="P94" s="79" t="s">
        <v>621</v>
      </c>
      <c r="Q94" s="82">
        <v>635375</v>
      </c>
      <c r="R94" s="81">
        <f t="shared" si="2"/>
        <v>0</v>
      </c>
    </row>
    <row r="95" spans="2:18" ht="23.25" customHeight="1">
      <c r="B95" s="79" t="s">
        <v>400</v>
      </c>
      <c r="C95" s="79" t="s">
        <v>287</v>
      </c>
      <c r="D95" s="79" t="s">
        <v>288</v>
      </c>
      <c r="E95" s="79" t="s">
        <v>289</v>
      </c>
      <c r="F95" s="79" t="s">
        <v>167</v>
      </c>
      <c r="G95" s="79" t="s">
        <v>290</v>
      </c>
      <c r="H95" s="79" t="s">
        <v>13</v>
      </c>
      <c r="I95" s="79" t="s">
        <v>13</v>
      </c>
      <c r="J95" s="79" t="s">
        <v>14</v>
      </c>
      <c r="K95" s="79" t="s">
        <v>12</v>
      </c>
      <c r="L95" s="79" t="s">
        <v>370</v>
      </c>
      <c r="M95" s="79" t="s">
        <v>292</v>
      </c>
      <c r="N95" s="81">
        <v>631875</v>
      </c>
      <c r="O95" s="93">
        <v>207</v>
      </c>
      <c r="P95" s="79" t="s">
        <v>622</v>
      </c>
      <c r="Q95" s="82">
        <v>631875</v>
      </c>
      <c r="R95" s="81">
        <f t="shared" si="2"/>
        <v>0</v>
      </c>
    </row>
    <row r="96" spans="2:18" ht="23.25" customHeight="1">
      <c r="B96" s="79" t="s">
        <v>401</v>
      </c>
      <c r="C96" s="79" t="s">
        <v>287</v>
      </c>
      <c r="D96" s="79" t="s">
        <v>288</v>
      </c>
      <c r="E96" s="79" t="s">
        <v>289</v>
      </c>
      <c r="F96" s="79" t="s">
        <v>167</v>
      </c>
      <c r="G96" s="79" t="s">
        <v>290</v>
      </c>
      <c r="H96" s="79" t="s">
        <v>13</v>
      </c>
      <c r="I96" s="79" t="s">
        <v>13</v>
      </c>
      <c r="J96" s="79" t="s">
        <v>14</v>
      </c>
      <c r="K96" s="79" t="s">
        <v>12</v>
      </c>
      <c r="L96" s="79" t="s">
        <v>370</v>
      </c>
      <c r="M96" s="79" t="s">
        <v>292</v>
      </c>
      <c r="N96" s="81">
        <v>618250</v>
      </c>
      <c r="O96" s="93">
        <v>209</v>
      </c>
      <c r="P96" s="79" t="s">
        <v>623</v>
      </c>
      <c r="Q96" s="82">
        <v>618250</v>
      </c>
      <c r="R96" s="81">
        <f t="shared" si="2"/>
        <v>0</v>
      </c>
    </row>
    <row r="97" spans="2:23" ht="23.25" customHeight="1">
      <c r="B97" s="79" t="s">
        <v>402</v>
      </c>
      <c r="C97" s="79" t="s">
        <v>287</v>
      </c>
      <c r="D97" s="79" t="s">
        <v>288</v>
      </c>
      <c r="E97" s="79" t="s">
        <v>289</v>
      </c>
      <c r="F97" s="79" t="s">
        <v>167</v>
      </c>
      <c r="G97" s="79" t="s">
        <v>290</v>
      </c>
      <c r="H97" s="79" t="s">
        <v>13</v>
      </c>
      <c r="I97" s="79" t="s">
        <v>13</v>
      </c>
      <c r="J97" s="79" t="s">
        <v>14</v>
      </c>
      <c r="K97" s="79" t="s">
        <v>12</v>
      </c>
      <c r="L97" s="79" t="s">
        <v>370</v>
      </c>
      <c r="M97" s="79" t="s">
        <v>292</v>
      </c>
      <c r="N97" s="81">
        <v>430750</v>
      </c>
      <c r="O97" s="93">
        <v>211</v>
      </c>
      <c r="P97" s="79" t="s">
        <v>624</v>
      </c>
      <c r="Q97" s="82">
        <v>430750</v>
      </c>
      <c r="R97" s="81">
        <f t="shared" si="2"/>
        <v>0</v>
      </c>
    </row>
    <row r="98" spans="2:23" ht="23.25" customHeight="1">
      <c r="B98" s="79" t="s">
        <v>403</v>
      </c>
      <c r="C98" s="79" t="s">
        <v>287</v>
      </c>
      <c r="D98" s="79" t="s">
        <v>288</v>
      </c>
      <c r="E98" s="79" t="s">
        <v>289</v>
      </c>
      <c r="F98" s="79" t="s">
        <v>167</v>
      </c>
      <c r="G98" s="79" t="s">
        <v>290</v>
      </c>
      <c r="H98" s="79" t="s">
        <v>13</v>
      </c>
      <c r="I98" s="79" t="s">
        <v>13</v>
      </c>
      <c r="J98" s="79" t="s">
        <v>14</v>
      </c>
      <c r="K98" s="79" t="s">
        <v>12</v>
      </c>
      <c r="L98" s="79" t="s">
        <v>370</v>
      </c>
      <c r="M98" s="79" t="s">
        <v>292</v>
      </c>
      <c r="N98" s="81">
        <v>406500</v>
      </c>
      <c r="O98" s="93">
        <v>195</v>
      </c>
      <c r="P98" s="79" t="s">
        <v>614</v>
      </c>
      <c r="Q98" s="82">
        <v>406500</v>
      </c>
      <c r="R98" s="81">
        <f t="shared" si="2"/>
        <v>0</v>
      </c>
    </row>
    <row r="99" spans="2:23" ht="23.25" customHeight="1">
      <c r="B99" s="79" t="s">
        <v>404</v>
      </c>
      <c r="C99" s="79" t="s">
        <v>287</v>
      </c>
      <c r="D99" s="79" t="s">
        <v>288</v>
      </c>
      <c r="E99" s="79" t="s">
        <v>289</v>
      </c>
      <c r="F99" s="79" t="s">
        <v>167</v>
      </c>
      <c r="G99" s="79" t="s">
        <v>290</v>
      </c>
      <c r="H99" s="79" t="s">
        <v>13</v>
      </c>
      <c r="I99" s="79" t="s">
        <v>13</v>
      </c>
      <c r="J99" s="79" t="s">
        <v>14</v>
      </c>
      <c r="K99" s="79" t="s">
        <v>12</v>
      </c>
      <c r="L99" s="79" t="s">
        <v>370</v>
      </c>
      <c r="M99" s="79" t="s">
        <v>292</v>
      </c>
      <c r="N99" s="81">
        <v>371000</v>
      </c>
      <c r="O99" s="93">
        <v>196</v>
      </c>
      <c r="P99" s="79" t="s">
        <v>615</v>
      </c>
      <c r="Q99" s="82">
        <v>371000</v>
      </c>
      <c r="R99" s="81">
        <f t="shared" si="2"/>
        <v>0</v>
      </c>
    </row>
    <row r="100" spans="2:23" ht="23.25" customHeight="1">
      <c r="B100" s="79" t="s">
        <v>405</v>
      </c>
      <c r="C100" s="79" t="s">
        <v>287</v>
      </c>
      <c r="D100" s="79" t="s">
        <v>288</v>
      </c>
      <c r="E100" s="79" t="s">
        <v>289</v>
      </c>
      <c r="F100" s="79" t="s">
        <v>167</v>
      </c>
      <c r="G100" s="79" t="s">
        <v>290</v>
      </c>
      <c r="H100" s="79" t="s">
        <v>13</v>
      </c>
      <c r="I100" s="79" t="s">
        <v>13</v>
      </c>
      <c r="J100" s="79" t="s">
        <v>14</v>
      </c>
      <c r="K100" s="79" t="s">
        <v>12</v>
      </c>
      <c r="L100" s="79" t="s">
        <v>370</v>
      </c>
      <c r="M100" s="79" t="s">
        <v>292</v>
      </c>
      <c r="N100" s="81">
        <v>220500</v>
      </c>
      <c r="O100" s="93">
        <v>197</v>
      </c>
      <c r="P100" s="79" t="s">
        <v>616</v>
      </c>
      <c r="Q100" s="82">
        <v>220500</v>
      </c>
      <c r="R100" s="81">
        <f t="shared" si="2"/>
        <v>0</v>
      </c>
    </row>
    <row r="101" spans="2:23" ht="23.25" customHeight="1">
      <c r="B101" s="79" t="s">
        <v>406</v>
      </c>
      <c r="C101" s="79" t="s">
        <v>287</v>
      </c>
      <c r="D101" s="79" t="s">
        <v>288</v>
      </c>
      <c r="E101" s="79" t="s">
        <v>289</v>
      </c>
      <c r="F101" s="79" t="s">
        <v>167</v>
      </c>
      <c r="G101" s="79" t="s">
        <v>290</v>
      </c>
      <c r="H101" s="79" t="s">
        <v>13</v>
      </c>
      <c r="I101" s="79" t="s">
        <v>13</v>
      </c>
      <c r="J101" s="79" t="s">
        <v>14</v>
      </c>
      <c r="K101" s="79" t="s">
        <v>12</v>
      </c>
      <c r="L101" s="79" t="s">
        <v>370</v>
      </c>
      <c r="M101" s="79" t="s">
        <v>292</v>
      </c>
      <c r="N101" s="81">
        <v>123000</v>
      </c>
      <c r="O101" s="93">
        <v>198</v>
      </c>
      <c r="P101" s="79" t="s">
        <v>617</v>
      </c>
      <c r="Q101" s="82">
        <v>123000</v>
      </c>
      <c r="R101" s="81">
        <f t="shared" si="2"/>
        <v>0</v>
      </c>
    </row>
    <row r="102" spans="2:23" ht="23.25" customHeight="1">
      <c r="B102" s="79" t="s">
        <v>407</v>
      </c>
      <c r="C102" s="79" t="s">
        <v>287</v>
      </c>
      <c r="D102" s="79" t="s">
        <v>288</v>
      </c>
      <c r="E102" s="79" t="s">
        <v>289</v>
      </c>
      <c r="F102" s="79" t="s">
        <v>167</v>
      </c>
      <c r="G102" s="79" t="s">
        <v>290</v>
      </c>
      <c r="H102" s="79" t="s">
        <v>13</v>
      </c>
      <c r="I102" s="79" t="s">
        <v>13</v>
      </c>
      <c r="J102" s="79" t="s">
        <v>14</v>
      </c>
      <c r="K102" s="79" t="s">
        <v>12</v>
      </c>
      <c r="L102" s="79" t="s">
        <v>408</v>
      </c>
      <c r="M102" s="79" t="s">
        <v>292</v>
      </c>
      <c r="N102" s="81">
        <v>476468.75</v>
      </c>
      <c r="O102" s="93">
        <v>213</v>
      </c>
      <c r="P102" s="79" t="s">
        <v>625</v>
      </c>
      <c r="Q102" s="82">
        <v>476468.75</v>
      </c>
      <c r="R102" s="81">
        <f t="shared" si="2"/>
        <v>0</v>
      </c>
    </row>
    <row r="103" spans="2:23" ht="23.25" customHeight="1">
      <c r="B103" s="79" t="s">
        <v>409</v>
      </c>
      <c r="C103" s="79" t="s">
        <v>287</v>
      </c>
      <c r="D103" s="79" t="s">
        <v>288</v>
      </c>
      <c r="E103" s="79" t="s">
        <v>289</v>
      </c>
      <c r="F103" s="79" t="s">
        <v>167</v>
      </c>
      <c r="G103" s="79" t="s">
        <v>290</v>
      </c>
      <c r="H103" s="79" t="s">
        <v>13</v>
      </c>
      <c r="I103" s="79" t="s">
        <v>13</v>
      </c>
      <c r="J103" s="79" t="s">
        <v>14</v>
      </c>
      <c r="K103" s="79" t="s">
        <v>12</v>
      </c>
      <c r="L103" s="79" t="s">
        <v>408</v>
      </c>
      <c r="M103" s="79" t="s">
        <v>292</v>
      </c>
      <c r="N103" s="81">
        <v>544812.5</v>
      </c>
      <c r="O103" s="93">
        <v>214</v>
      </c>
      <c r="P103" s="79" t="s">
        <v>626</v>
      </c>
      <c r="Q103" s="82">
        <v>544812.5</v>
      </c>
      <c r="R103" s="81">
        <f t="shared" si="2"/>
        <v>0</v>
      </c>
    </row>
    <row r="104" spans="2:23" ht="23.25" customHeight="1">
      <c r="B104" s="79" t="s">
        <v>410</v>
      </c>
      <c r="C104" s="79" t="s">
        <v>287</v>
      </c>
      <c r="D104" s="79" t="s">
        <v>288</v>
      </c>
      <c r="E104" s="79" t="s">
        <v>289</v>
      </c>
      <c r="F104" s="79" t="s">
        <v>167</v>
      </c>
      <c r="G104" s="79" t="s">
        <v>290</v>
      </c>
      <c r="H104" s="79" t="s">
        <v>13</v>
      </c>
      <c r="I104" s="79" t="s">
        <v>13</v>
      </c>
      <c r="J104" s="79" t="s">
        <v>14</v>
      </c>
      <c r="K104" s="79" t="s">
        <v>12</v>
      </c>
      <c r="L104" s="79" t="s">
        <v>408</v>
      </c>
      <c r="M104" s="79" t="s">
        <v>292</v>
      </c>
      <c r="N104" s="81">
        <v>528937.5</v>
      </c>
      <c r="O104" s="93">
        <v>215</v>
      </c>
      <c r="P104" s="79" t="s">
        <v>627</v>
      </c>
      <c r="Q104" s="82">
        <v>528937.5</v>
      </c>
      <c r="R104" s="81">
        <f t="shared" si="2"/>
        <v>0</v>
      </c>
    </row>
    <row r="105" spans="2:23" ht="23.25" customHeight="1">
      <c r="B105" s="79" t="s">
        <v>411</v>
      </c>
      <c r="C105" s="79" t="s">
        <v>287</v>
      </c>
      <c r="D105" s="79" t="s">
        <v>288</v>
      </c>
      <c r="E105" s="79" t="s">
        <v>289</v>
      </c>
      <c r="F105" s="79" t="s">
        <v>167</v>
      </c>
      <c r="G105" s="79" t="s">
        <v>290</v>
      </c>
      <c r="H105" s="79" t="s">
        <v>13</v>
      </c>
      <c r="I105" s="79" t="s">
        <v>13</v>
      </c>
      <c r="J105" s="79" t="s">
        <v>14</v>
      </c>
      <c r="K105" s="79" t="s">
        <v>12</v>
      </c>
      <c r="L105" s="79" t="s">
        <v>408</v>
      </c>
      <c r="M105" s="79" t="s">
        <v>292</v>
      </c>
      <c r="N105" s="81">
        <v>801250</v>
      </c>
      <c r="O105" s="93">
        <v>216</v>
      </c>
      <c r="P105" s="79" t="s">
        <v>628</v>
      </c>
      <c r="Q105" s="82">
        <v>801250</v>
      </c>
      <c r="R105" s="81">
        <f t="shared" si="2"/>
        <v>0</v>
      </c>
    </row>
    <row r="106" spans="2:23" ht="23.25" customHeight="1">
      <c r="B106" s="79" t="s">
        <v>412</v>
      </c>
      <c r="C106" s="79" t="s">
        <v>287</v>
      </c>
      <c r="D106" s="79" t="s">
        <v>288</v>
      </c>
      <c r="E106" s="79" t="s">
        <v>289</v>
      </c>
      <c r="F106" s="79" t="s">
        <v>167</v>
      </c>
      <c r="G106" s="79" t="s">
        <v>290</v>
      </c>
      <c r="H106" s="79" t="s">
        <v>13</v>
      </c>
      <c r="I106" s="79" t="s">
        <v>13</v>
      </c>
      <c r="J106" s="79" t="s">
        <v>14</v>
      </c>
      <c r="K106" s="79" t="s">
        <v>12</v>
      </c>
      <c r="L106" s="79" t="s">
        <v>408</v>
      </c>
      <c r="M106" s="79" t="s">
        <v>292</v>
      </c>
      <c r="N106" s="81">
        <v>791750</v>
      </c>
      <c r="O106" s="93">
        <v>217</v>
      </c>
      <c r="P106" s="79" t="s">
        <v>629</v>
      </c>
      <c r="Q106" s="82">
        <v>791750</v>
      </c>
      <c r="R106" s="81">
        <f t="shared" si="2"/>
        <v>0</v>
      </c>
    </row>
    <row r="107" spans="2:23" ht="23.25" customHeight="1">
      <c r="B107" s="79" t="s">
        <v>413</v>
      </c>
      <c r="C107" s="79" t="s">
        <v>287</v>
      </c>
      <c r="D107" s="79" t="s">
        <v>288</v>
      </c>
      <c r="E107" s="79" t="s">
        <v>289</v>
      </c>
      <c r="F107" s="79" t="s">
        <v>167</v>
      </c>
      <c r="G107" s="79" t="s">
        <v>290</v>
      </c>
      <c r="H107" s="79" t="s">
        <v>13</v>
      </c>
      <c r="I107" s="79" t="s">
        <v>13</v>
      </c>
      <c r="J107" s="79" t="s">
        <v>14</v>
      </c>
      <c r="K107" s="79" t="s">
        <v>12</v>
      </c>
      <c r="L107" s="79" t="s">
        <v>408</v>
      </c>
      <c r="M107" s="79" t="s">
        <v>292</v>
      </c>
      <c r="N107" s="81">
        <v>573075</v>
      </c>
      <c r="O107" s="93">
        <v>218</v>
      </c>
      <c r="P107" s="79" t="s">
        <v>630</v>
      </c>
      <c r="Q107" s="82">
        <v>573075</v>
      </c>
      <c r="R107" s="81">
        <f t="shared" si="2"/>
        <v>0</v>
      </c>
    </row>
    <row r="108" spans="2:23" ht="23.25" customHeight="1">
      <c r="B108" s="79" t="s">
        <v>414</v>
      </c>
      <c r="C108" s="79" t="s">
        <v>287</v>
      </c>
      <c r="D108" s="79" t="s">
        <v>288</v>
      </c>
      <c r="E108" s="79" t="s">
        <v>289</v>
      </c>
      <c r="F108" s="79" t="s">
        <v>167</v>
      </c>
      <c r="G108" s="79" t="s">
        <v>290</v>
      </c>
      <c r="H108" s="79" t="s">
        <v>13</v>
      </c>
      <c r="I108" s="79" t="s">
        <v>13</v>
      </c>
      <c r="J108" s="79" t="s">
        <v>14</v>
      </c>
      <c r="K108" s="79" t="s">
        <v>12</v>
      </c>
      <c r="L108" s="79" t="s">
        <v>408</v>
      </c>
      <c r="M108" s="79" t="s">
        <v>292</v>
      </c>
      <c r="N108" s="81">
        <v>498937.5</v>
      </c>
      <c r="O108" s="93">
        <v>219</v>
      </c>
      <c r="P108" s="79" t="s">
        <v>631</v>
      </c>
      <c r="Q108" s="82">
        <v>498937.5</v>
      </c>
      <c r="R108" s="81">
        <f t="shared" si="2"/>
        <v>0</v>
      </c>
    </row>
    <row r="109" spans="2:23" ht="23.25" customHeight="1">
      <c r="B109" s="79" t="s">
        <v>415</v>
      </c>
      <c r="C109" s="79" t="s">
        <v>287</v>
      </c>
      <c r="D109" s="79" t="s">
        <v>288</v>
      </c>
      <c r="E109" s="79" t="s">
        <v>289</v>
      </c>
      <c r="F109" s="79" t="s">
        <v>167</v>
      </c>
      <c r="G109" s="79" t="s">
        <v>290</v>
      </c>
      <c r="H109" s="79" t="s">
        <v>13</v>
      </c>
      <c r="I109" s="79" t="s">
        <v>13</v>
      </c>
      <c r="J109" s="79" t="s">
        <v>14</v>
      </c>
      <c r="K109" s="79" t="s">
        <v>12</v>
      </c>
      <c r="L109" s="79" t="s">
        <v>408</v>
      </c>
      <c r="M109" s="79" t="s">
        <v>292</v>
      </c>
      <c r="N109" s="81">
        <v>4000</v>
      </c>
      <c r="O109" s="93">
        <v>222</v>
      </c>
      <c r="P109" s="79" t="s">
        <v>634</v>
      </c>
      <c r="Q109" s="82">
        <v>4000</v>
      </c>
      <c r="R109" s="81">
        <f t="shared" si="2"/>
        <v>0</v>
      </c>
      <c r="T109" s="93">
        <v>220</v>
      </c>
      <c r="U109" s="79" t="s">
        <v>632</v>
      </c>
      <c r="V109" s="82">
        <v>141437.5</v>
      </c>
      <c r="W109" s="81">
        <f>N109-V109</f>
        <v>-137437.5</v>
      </c>
    </row>
    <row r="110" spans="2:23" ht="23.25" customHeight="1">
      <c r="B110" s="79" t="s">
        <v>416</v>
      </c>
      <c r="C110" s="79" t="s">
        <v>287</v>
      </c>
      <c r="D110" s="79" t="s">
        <v>288</v>
      </c>
      <c r="E110" s="79" t="s">
        <v>289</v>
      </c>
      <c r="F110" s="79" t="s">
        <v>167</v>
      </c>
      <c r="G110" s="79" t="s">
        <v>290</v>
      </c>
      <c r="H110" s="79" t="s">
        <v>13</v>
      </c>
      <c r="I110" s="79" t="s">
        <v>13</v>
      </c>
      <c r="J110" s="79" t="s">
        <v>14</v>
      </c>
      <c r="K110" s="79" t="s">
        <v>12</v>
      </c>
      <c r="L110" s="79" t="s">
        <v>408</v>
      </c>
      <c r="M110" s="79" t="s">
        <v>292</v>
      </c>
      <c r="N110" s="81">
        <v>353375</v>
      </c>
      <c r="O110" s="93">
        <v>223</v>
      </c>
      <c r="P110" s="79" t="s">
        <v>635</v>
      </c>
      <c r="Q110" s="82">
        <v>353375</v>
      </c>
      <c r="R110" s="81">
        <f t="shared" si="2"/>
        <v>0</v>
      </c>
      <c r="T110" s="93">
        <v>221</v>
      </c>
      <c r="U110" s="79" t="s">
        <v>633</v>
      </c>
      <c r="V110" s="82">
        <v>154375</v>
      </c>
      <c r="W110" s="81">
        <f>N110-V110</f>
        <v>199000</v>
      </c>
    </row>
    <row r="111" spans="2:23" ht="23.25" customHeight="1">
      <c r="B111" s="79" t="s">
        <v>417</v>
      </c>
      <c r="C111" s="79" t="s">
        <v>287</v>
      </c>
      <c r="D111" s="79" t="s">
        <v>288</v>
      </c>
      <c r="E111" s="79" t="s">
        <v>289</v>
      </c>
      <c r="F111" s="79" t="s">
        <v>167</v>
      </c>
      <c r="G111" s="79" t="s">
        <v>290</v>
      </c>
      <c r="H111" s="79" t="s">
        <v>13</v>
      </c>
      <c r="I111" s="79" t="s">
        <v>13</v>
      </c>
      <c r="J111" s="79" t="s">
        <v>14</v>
      </c>
      <c r="K111" s="79" t="s">
        <v>12</v>
      </c>
      <c r="L111" s="79" t="s">
        <v>408</v>
      </c>
      <c r="M111" s="79" t="s">
        <v>292</v>
      </c>
      <c r="N111" s="81">
        <v>311000</v>
      </c>
      <c r="O111" s="93">
        <v>224</v>
      </c>
      <c r="P111" s="79" t="s">
        <v>636</v>
      </c>
      <c r="Q111" s="82">
        <v>311000</v>
      </c>
      <c r="R111" s="81">
        <f t="shared" si="2"/>
        <v>0</v>
      </c>
    </row>
    <row r="112" spans="2:23" ht="23.25" customHeight="1">
      <c r="B112" s="79" t="s">
        <v>418</v>
      </c>
      <c r="C112" s="79" t="s">
        <v>287</v>
      </c>
      <c r="D112" s="79" t="s">
        <v>288</v>
      </c>
      <c r="E112" s="79" t="s">
        <v>289</v>
      </c>
      <c r="F112" s="79" t="s">
        <v>167</v>
      </c>
      <c r="G112" s="79" t="s">
        <v>290</v>
      </c>
      <c r="H112" s="79" t="s">
        <v>13</v>
      </c>
      <c r="I112" s="79" t="s">
        <v>13</v>
      </c>
      <c r="J112" s="79" t="s">
        <v>14</v>
      </c>
      <c r="K112" s="79" t="s">
        <v>12</v>
      </c>
      <c r="L112" s="79" t="s">
        <v>408</v>
      </c>
      <c r="M112" s="79" t="s">
        <v>292</v>
      </c>
      <c r="N112" s="81">
        <v>462250</v>
      </c>
      <c r="O112" s="93">
        <v>225</v>
      </c>
      <c r="P112" s="79" t="s">
        <v>637</v>
      </c>
      <c r="Q112" s="82">
        <v>462250</v>
      </c>
      <c r="R112" s="81">
        <f t="shared" si="2"/>
        <v>0</v>
      </c>
    </row>
    <row r="113" spans="2:18" ht="23.25" customHeight="1">
      <c r="B113" s="79" t="s">
        <v>419</v>
      </c>
      <c r="C113" s="79" t="s">
        <v>287</v>
      </c>
      <c r="D113" s="79" t="s">
        <v>288</v>
      </c>
      <c r="E113" s="79" t="s">
        <v>289</v>
      </c>
      <c r="F113" s="79" t="s">
        <v>167</v>
      </c>
      <c r="G113" s="79" t="s">
        <v>290</v>
      </c>
      <c r="H113" s="79" t="s">
        <v>13</v>
      </c>
      <c r="I113" s="79" t="s">
        <v>13</v>
      </c>
      <c r="J113" s="79" t="s">
        <v>14</v>
      </c>
      <c r="K113" s="79" t="s">
        <v>12</v>
      </c>
      <c r="L113" s="79" t="s">
        <v>408</v>
      </c>
      <c r="M113" s="79" t="s">
        <v>292</v>
      </c>
      <c r="N113" s="81">
        <v>726250</v>
      </c>
      <c r="O113" s="93">
        <v>226</v>
      </c>
      <c r="P113" s="79" t="s">
        <v>638</v>
      </c>
      <c r="Q113" s="82">
        <v>726250</v>
      </c>
      <c r="R113" s="81">
        <f t="shared" si="2"/>
        <v>0</v>
      </c>
    </row>
    <row r="114" spans="2:18" ht="23.25" customHeight="1">
      <c r="B114" s="79" t="s">
        <v>420</v>
      </c>
      <c r="C114" s="79" t="s">
        <v>287</v>
      </c>
      <c r="D114" s="79" t="s">
        <v>288</v>
      </c>
      <c r="E114" s="79" t="s">
        <v>289</v>
      </c>
      <c r="F114" s="79" t="s">
        <v>167</v>
      </c>
      <c r="G114" s="79" t="s">
        <v>290</v>
      </c>
      <c r="H114" s="79" t="s">
        <v>13</v>
      </c>
      <c r="I114" s="79" t="s">
        <v>13</v>
      </c>
      <c r="J114" s="79" t="s">
        <v>14</v>
      </c>
      <c r="K114" s="79" t="s">
        <v>12</v>
      </c>
      <c r="L114" s="79" t="s">
        <v>408</v>
      </c>
      <c r="M114" s="79" t="s">
        <v>292</v>
      </c>
      <c r="N114" s="81">
        <v>574250</v>
      </c>
      <c r="O114" s="93">
        <v>227</v>
      </c>
      <c r="P114" s="79" t="s">
        <v>639</v>
      </c>
      <c r="Q114" s="82">
        <v>574250</v>
      </c>
      <c r="R114" s="81">
        <f t="shared" si="2"/>
        <v>0</v>
      </c>
    </row>
    <row r="115" spans="2:18" ht="23.25" customHeight="1">
      <c r="B115" s="79" t="s">
        <v>421</v>
      </c>
      <c r="C115" s="79" t="s">
        <v>287</v>
      </c>
      <c r="D115" s="79" t="s">
        <v>288</v>
      </c>
      <c r="E115" s="79" t="s">
        <v>289</v>
      </c>
      <c r="F115" s="79" t="s">
        <v>167</v>
      </c>
      <c r="G115" s="79" t="s">
        <v>290</v>
      </c>
      <c r="H115" s="79" t="s">
        <v>13</v>
      </c>
      <c r="I115" s="79" t="s">
        <v>13</v>
      </c>
      <c r="J115" s="79" t="s">
        <v>14</v>
      </c>
      <c r="K115" s="79" t="s">
        <v>12</v>
      </c>
      <c r="L115" s="79" t="s">
        <v>408</v>
      </c>
      <c r="M115" s="79" t="s">
        <v>292</v>
      </c>
      <c r="N115" s="81">
        <v>474000</v>
      </c>
      <c r="O115" s="93">
        <v>228</v>
      </c>
      <c r="P115" s="79" t="s">
        <v>640</v>
      </c>
      <c r="Q115" s="82">
        <v>474000</v>
      </c>
      <c r="R115" s="81">
        <f t="shared" si="2"/>
        <v>0</v>
      </c>
    </row>
    <row r="116" spans="2:18" ht="23.25" customHeight="1">
      <c r="B116" s="79" t="s">
        <v>422</v>
      </c>
      <c r="C116" s="79" t="s">
        <v>287</v>
      </c>
      <c r="D116" s="79" t="s">
        <v>288</v>
      </c>
      <c r="E116" s="79" t="s">
        <v>289</v>
      </c>
      <c r="F116" s="79" t="s">
        <v>167</v>
      </c>
      <c r="G116" s="79" t="s">
        <v>290</v>
      </c>
      <c r="H116" s="79" t="s">
        <v>13</v>
      </c>
      <c r="I116" s="79" t="s">
        <v>13</v>
      </c>
      <c r="J116" s="79" t="s">
        <v>14</v>
      </c>
      <c r="K116" s="79" t="s">
        <v>12</v>
      </c>
      <c r="L116" s="79" t="s">
        <v>408</v>
      </c>
      <c r="M116" s="79" t="s">
        <v>292</v>
      </c>
      <c r="N116" s="81">
        <v>493750</v>
      </c>
      <c r="O116" s="93">
        <v>229</v>
      </c>
      <c r="P116" s="79" t="s">
        <v>641</v>
      </c>
      <c r="Q116" s="82">
        <v>493750</v>
      </c>
      <c r="R116" s="81">
        <f t="shared" si="2"/>
        <v>0</v>
      </c>
    </row>
    <row r="117" spans="2:18" ht="23.25" customHeight="1">
      <c r="B117" s="79" t="s">
        <v>423</v>
      </c>
      <c r="C117" s="79" t="s">
        <v>287</v>
      </c>
      <c r="D117" s="79" t="s">
        <v>288</v>
      </c>
      <c r="E117" s="79" t="s">
        <v>289</v>
      </c>
      <c r="F117" s="79" t="s">
        <v>167</v>
      </c>
      <c r="G117" s="79" t="s">
        <v>290</v>
      </c>
      <c r="H117" s="79" t="s">
        <v>13</v>
      </c>
      <c r="I117" s="79" t="s">
        <v>13</v>
      </c>
      <c r="J117" s="79" t="s">
        <v>14</v>
      </c>
      <c r="K117" s="79" t="s">
        <v>12</v>
      </c>
      <c r="L117" s="79" t="s">
        <v>408</v>
      </c>
      <c r="M117" s="79" t="s">
        <v>292</v>
      </c>
      <c r="N117" s="81">
        <v>384250</v>
      </c>
      <c r="O117" s="93">
        <v>232</v>
      </c>
      <c r="P117" s="79" t="s">
        <v>644</v>
      </c>
      <c r="Q117" s="82">
        <v>384250</v>
      </c>
      <c r="R117" s="81">
        <f t="shared" si="2"/>
        <v>0</v>
      </c>
    </row>
    <row r="118" spans="2:18" ht="23.25" customHeight="1">
      <c r="B118" s="79" t="s">
        <v>424</v>
      </c>
      <c r="C118" s="79" t="s">
        <v>287</v>
      </c>
      <c r="D118" s="79" t="s">
        <v>288</v>
      </c>
      <c r="E118" s="79" t="s">
        <v>289</v>
      </c>
      <c r="F118" s="79" t="s">
        <v>167</v>
      </c>
      <c r="G118" s="79" t="s">
        <v>290</v>
      </c>
      <c r="H118" s="79" t="s">
        <v>13</v>
      </c>
      <c r="I118" s="79" t="s">
        <v>13</v>
      </c>
      <c r="J118" s="79" t="s">
        <v>14</v>
      </c>
      <c r="K118" s="79" t="s">
        <v>12</v>
      </c>
      <c r="L118" s="79" t="s">
        <v>408</v>
      </c>
      <c r="M118" s="79" t="s">
        <v>292</v>
      </c>
      <c r="N118" s="81">
        <v>329750</v>
      </c>
      <c r="O118" s="93">
        <v>233</v>
      </c>
      <c r="P118" s="79" t="s">
        <v>645</v>
      </c>
      <c r="Q118" s="82">
        <v>329750</v>
      </c>
      <c r="R118" s="81">
        <f t="shared" si="2"/>
        <v>0</v>
      </c>
    </row>
    <row r="119" spans="2:18" ht="23.25" customHeight="1">
      <c r="B119" s="79" t="s">
        <v>425</v>
      </c>
      <c r="C119" s="79" t="s">
        <v>287</v>
      </c>
      <c r="D119" s="79" t="s">
        <v>288</v>
      </c>
      <c r="E119" s="79" t="s">
        <v>289</v>
      </c>
      <c r="F119" s="79" t="s">
        <v>167</v>
      </c>
      <c r="G119" s="79" t="s">
        <v>290</v>
      </c>
      <c r="H119" s="79" t="s">
        <v>13</v>
      </c>
      <c r="I119" s="79" t="s">
        <v>13</v>
      </c>
      <c r="J119" s="79" t="s">
        <v>14</v>
      </c>
      <c r="K119" s="79" t="s">
        <v>12</v>
      </c>
      <c r="L119" s="79" t="s">
        <v>408</v>
      </c>
      <c r="M119" s="79" t="s">
        <v>292</v>
      </c>
      <c r="N119" s="81">
        <v>389750</v>
      </c>
      <c r="O119" s="93">
        <v>234</v>
      </c>
      <c r="P119" s="79" t="s">
        <v>646</v>
      </c>
      <c r="Q119" s="82">
        <v>389750</v>
      </c>
      <c r="R119" s="81">
        <f t="shared" si="2"/>
        <v>0</v>
      </c>
    </row>
    <row r="120" spans="2:18" ht="23.25" customHeight="1">
      <c r="B120" s="79" t="s">
        <v>426</v>
      </c>
      <c r="C120" s="79" t="s">
        <v>287</v>
      </c>
      <c r="D120" s="79" t="s">
        <v>288</v>
      </c>
      <c r="E120" s="79" t="s">
        <v>289</v>
      </c>
      <c r="F120" s="79" t="s">
        <v>167</v>
      </c>
      <c r="G120" s="79" t="s">
        <v>290</v>
      </c>
      <c r="H120" s="79" t="s">
        <v>13</v>
      </c>
      <c r="I120" s="79" t="s">
        <v>13</v>
      </c>
      <c r="J120" s="79" t="s">
        <v>14</v>
      </c>
      <c r="K120" s="79" t="s">
        <v>12</v>
      </c>
      <c r="L120" s="79" t="s">
        <v>408</v>
      </c>
      <c r="M120" s="79" t="s">
        <v>292</v>
      </c>
      <c r="N120" s="81">
        <v>754375</v>
      </c>
      <c r="O120" s="93">
        <v>235</v>
      </c>
      <c r="P120" s="79" t="s">
        <v>647</v>
      </c>
      <c r="Q120" s="82">
        <v>754375</v>
      </c>
      <c r="R120" s="81">
        <f t="shared" si="2"/>
        <v>0</v>
      </c>
    </row>
    <row r="121" spans="2:18" ht="23.25" customHeight="1">
      <c r="B121" s="79" t="s">
        <v>427</v>
      </c>
      <c r="C121" s="79" t="s">
        <v>287</v>
      </c>
      <c r="D121" s="79" t="s">
        <v>288</v>
      </c>
      <c r="E121" s="79" t="s">
        <v>289</v>
      </c>
      <c r="F121" s="79" t="s">
        <v>167</v>
      </c>
      <c r="G121" s="79" t="s">
        <v>290</v>
      </c>
      <c r="H121" s="79" t="s">
        <v>13</v>
      </c>
      <c r="I121" s="79" t="s">
        <v>13</v>
      </c>
      <c r="J121" s="79" t="s">
        <v>14</v>
      </c>
      <c r="K121" s="79" t="s">
        <v>12</v>
      </c>
      <c r="L121" s="79" t="s">
        <v>408</v>
      </c>
      <c r="M121" s="79" t="s">
        <v>292</v>
      </c>
      <c r="N121" s="81">
        <v>879250</v>
      </c>
      <c r="O121" s="93">
        <v>236</v>
      </c>
      <c r="P121" s="79" t="s">
        <v>648</v>
      </c>
      <c r="Q121" s="82">
        <v>879250</v>
      </c>
      <c r="R121" s="81">
        <f t="shared" si="2"/>
        <v>0</v>
      </c>
    </row>
    <row r="122" spans="2:18" ht="23.25" customHeight="1">
      <c r="B122" s="79" t="s">
        <v>428</v>
      </c>
      <c r="C122" s="79" t="s">
        <v>287</v>
      </c>
      <c r="D122" s="79" t="s">
        <v>288</v>
      </c>
      <c r="E122" s="79" t="s">
        <v>289</v>
      </c>
      <c r="F122" s="79" t="s">
        <v>167</v>
      </c>
      <c r="G122" s="79" t="s">
        <v>290</v>
      </c>
      <c r="H122" s="79" t="s">
        <v>13</v>
      </c>
      <c r="I122" s="79" t="s">
        <v>13</v>
      </c>
      <c r="J122" s="79" t="s">
        <v>14</v>
      </c>
      <c r="K122" s="79" t="s">
        <v>12</v>
      </c>
      <c r="L122" s="79" t="s">
        <v>408</v>
      </c>
      <c r="M122" s="79" t="s">
        <v>292</v>
      </c>
      <c r="N122" s="81">
        <v>711000</v>
      </c>
      <c r="O122" s="93">
        <v>237</v>
      </c>
      <c r="P122" s="79" t="s">
        <v>649</v>
      </c>
      <c r="Q122" s="82">
        <v>711000</v>
      </c>
      <c r="R122" s="81">
        <f t="shared" si="2"/>
        <v>0</v>
      </c>
    </row>
    <row r="123" spans="2:18" ht="23.25" customHeight="1">
      <c r="B123" s="79" t="s">
        <v>429</v>
      </c>
      <c r="C123" s="79" t="s">
        <v>287</v>
      </c>
      <c r="D123" s="79" t="s">
        <v>288</v>
      </c>
      <c r="E123" s="79" t="s">
        <v>289</v>
      </c>
      <c r="F123" s="79" t="s">
        <v>167</v>
      </c>
      <c r="G123" s="79" t="s">
        <v>290</v>
      </c>
      <c r="H123" s="79" t="s">
        <v>13</v>
      </c>
      <c r="I123" s="79" t="s">
        <v>13</v>
      </c>
      <c r="J123" s="79" t="s">
        <v>14</v>
      </c>
      <c r="K123" s="79" t="s">
        <v>12</v>
      </c>
      <c r="L123" s="79" t="s">
        <v>408</v>
      </c>
      <c r="M123" s="79" t="s">
        <v>292</v>
      </c>
      <c r="N123" s="81">
        <v>463500</v>
      </c>
      <c r="O123" s="93">
        <v>238</v>
      </c>
      <c r="P123" s="79" t="s">
        <v>650</v>
      </c>
      <c r="Q123" s="82">
        <v>463500</v>
      </c>
      <c r="R123" s="81">
        <f t="shared" si="2"/>
        <v>0</v>
      </c>
    </row>
    <row r="124" spans="2:18" ht="23.25" customHeight="1">
      <c r="B124" s="79" t="s">
        <v>430</v>
      </c>
      <c r="C124" s="79" t="s">
        <v>287</v>
      </c>
      <c r="D124" s="79" t="s">
        <v>288</v>
      </c>
      <c r="E124" s="79" t="s">
        <v>289</v>
      </c>
      <c r="F124" s="79" t="s">
        <v>167</v>
      </c>
      <c r="G124" s="79" t="s">
        <v>290</v>
      </c>
      <c r="H124" s="79" t="s">
        <v>13</v>
      </c>
      <c r="I124" s="79" t="s">
        <v>13</v>
      </c>
      <c r="J124" s="79" t="s">
        <v>14</v>
      </c>
      <c r="K124" s="79" t="s">
        <v>12</v>
      </c>
      <c r="L124" s="79" t="s">
        <v>408</v>
      </c>
      <c r="M124" s="79" t="s">
        <v>292</v>
      </c>
      <c r="N124" s="81">
        <v>547125</v>
      </c>
      <c r="O124" s="93">
        <v>251</v>
      </c>
      <c r="P124" s="79" t="s">
        <v>663</v>
      </c>
      <c r="Q124" s="82">
        <v>547125</v>
      </c>
      <c r="R124" s="81">
        <f t="shared" si="2"/>
        <v>0</v>
      </c>
    </row>
    <row r="125" spans="2:18" ht="23.25" customHeight="1">
      <c r="B125" s="79" t="s">
        <v>431</v>
      </c>
      <c r="C125" s="79" t="s">
        <v>287</v>
      </c>
      <c r="D125" s="79" t="s">
        <v>288</v>
      </c>
      <c r="E125" s="79" t="s">
        <v>289</v>
      </c>
      <c r="F125" s="79" t="s">
        <v>167</v>
      </c>
      <c r="G125" s="79" t="s">
        <v>290</v>
      </c>
      <c r="H125" s="79" t="s">
        <v>13</v>
      </c>
      <c r="I125" s="79" t="s">
        <v>13</v>
      </c>
      <c r="J125" s="79" t="s">
        <v>14</v>
      </c>
      <c r="K125" s="79" t="s">
        <v>12</v>
      </c>
      <c r="L125" s="79" t="s">
        <v>408</v>
      </c>
      <c r="M125" s="79" t="s">
        <v>292</v>
      </c>
      <c r="N125" s="81">
        <v>577250</v>
      </c>
      <c r="O125" s="93">
        <v>253</v>
      </c>
      <c r="P125" s="79" t="s">
        <v>665</v>
      </c>
      <c r="Q125" s="82">
        <v>577250</v>
      </c>
      <c r="R125" s="81">
        <f t="shared" si="2"/>
        <v>0</v>
      </c>
    </row>
    <row r="126" spans="2:18" ht="23.25" customHeight="1">
      <c r="B126" s="79" t="s">
        <v>432</v>
      </c>
      <c r="C126" s="79" t="s">
        <v>287</v>
      </c>
      <c r="D126" s="79" t="s">
        <v>288</v>
      </c>
      <c r="E126" s="79" t="s">
        <v>289</v>
      </c>
      <c r="F126" s="79" t="s">
        <v>167</v>
      </c>
      <c r="G126" s="79" t="s">
        <v>290</v>
      </c>
      <c r="H126" s="79" t="s">
        <v>13</v>
      </c>
      <c r="I126" s="79" t="s">
        <v>13</v>
      </c>
      <c r="J126" s="79" t="s">
        <v>14</v>
      </c>
      <c r="K126" s="79" t="s">
        <v>12</v>
      </c>
      <c r="L126" s="79" t="s">
        <v>408</v>
      </c>
      <c r="M126" s="79" t="s">
        <v>292</v>
      </c>
      <c r="N126" s="81">
        <v>556250</v>
      </c>
      <c r="O126" s="93">
        <v>255</v>
      </c>
      <c r="P126" s="79" t="s">
        <v>667</v>
      </c>
      <c r="Q126" s="82">
        <v>556250</v>
      </c>
      <c r="R126" s="81">
        <f t="shared" si="2"/>
        <v>0</v>
      </c>
    </row>
    <row r="127" spans="2:18" ht="23.25" customHeight="1">
      <c r="B127" s="79" t="s">
        <v>433</v>
      </c>
      <c r="C127" s="79" t="s">
        <v>287</v>
      </c>
      <c r="D127" s="79" t="s">
        <v>288</v>
      </c>
      <c r="E127" s="79" t="s">
        <v>289</v>
      </c>
      <c r="F127" s="79" t="s">
        <v>167</v>
      </c>
      <c r="G127" s="79" t="s">
        <v>290</v>
      </c>
      <c r="H127" s="79" t="s">
        <v>13</v>
      </c>
      <c r="I127" s="79" t="s">
        <v>13</v>
      </c>
      <c r="J127" s="79" t="s">
        <v>14</v>
      </c>
      <c r="K127" s="79" t="s">
        <v>12</v>
      </c>
      <c r="L127" s="79" t="s">
        <v>408</v>
      </c>
      <c r="M127" s="79" t="s">
        <v>292</v>
      </c>
      <c r="N127" s="81">
        <v>716625</v>
      </c>
      <c r="O127" s="93">
        <v>257</v>
      </c>
      <c r="P127" s="71" t="s">
        <v>668</v>
      </c>
      <c r="Q127" s="172">
        <v>716625</v>
      </c>
      <c r="R127" s="81">
        <f t="shared" si="2"/>
        <v>0</v>
      </c>
    </row>
    <row r="128" spans="2:18" ht="23.25" customHeight="1">
      <c r="B128" s="79" t="s">
        <v>434</v>
      </c>
      <c r="C128" s="79" t="s">
        <v>287</v>
      </c>
      <c r="D128" s="79" t="s">
        <v>288</v>
      </c>
      <c r="E128" s="79" t="s">
        <v>289</v>
      </c>
      <c r="F128" s="79" t="s">
        <v>167</v>
      </c>
      <c r="G128" s="79" t="s">
        <v>290</v>
      </c>
      <c r="H128" s="79" t="s">
        <v>13</v>
      </c>
      <c r="I128" s="79" t="s">
        <v>13</v>
      </c>
      <c r="J128" s="79" t="s">
        <v>14</v>
      </c>
      <c r="K128" s="79" t="s">
        <v>12</v>
      </c>
      <c r="L128" s="79" t="s">
        <v>408</v>
      </c>
      <c r="M128" s="79" t="s">
        <v>292</v>
      </c>
      <c r="N128" s="81">
        <v>679875</v>
      </c>
      <c r="O128" s="93">
        <v>259</v>
      </c>
      <c r="P128" s="71" t="s">
        <v>669</v>
      </c>
      <c r="Q128" s="172">
        <v>679875</v>
      </c>
      <c r="R128" s="81">
        <f t="shared" si="2"/>
        <v>0</v>
      </c>
    </row>
    <row r="129" spans="2:18" ht="23.25" customHeight="1">
      <c r="B129" s="79" t="s">
        <v>435</v>
      </c>
      <c r="C129" s="79" t="s">
        <v>287</v>
      </c>
      <c r="D129" s="79" t="s">
        <v>288</v>
      </c>
      <c r="E129" s="79" t="s">
        <v>289</v>
      </c>
      <c r="F129" s="79" t="s">
        <v>167</v>
      </c>
      <c r="G129" s="79" t="s">
        <v>290</v>
      </c>
      <c r="H129" s="79" t="s">
        <v>13</v>
      </c>
      <c r="I129" s="79" t="s">
        <v>13</v>
      </c>
      <c r="J129" s="79" t="s">
        <v>14</v>
      </c>
      <c r="K129" s="79" t="s">
        <v>12</v>
      </c>
      <c r="L129" s="79" t="s">
        <v>408</v>
      </c>
      <c r="M129" s="79" t="s">
        <v>292</v>
      </c>
      <c r="N129" s="81">
        <v>602875</v>
      </c>
      <c r="O129" s="93">
        <v>261</v>
      </c>
      <c r="P129" s="79" t="s">
        <v>670</v>
      </c>
      <c r="Q129" s="82">
        <v>602875</v>
      </c>
      <c r="R129" s="81">
        <f t="shared" si="2"/>
        <v>0</v>
      </c>
    </row>
    <row r="130" spans="2:18" ht="23.25" customHeight="1">
      <c r="B130" s="79" t="s">
        <v>436</v>
      </c>
      <c r="C130" s="79" t="s">
        <v>287</v>
      </c>
      <c r="D130" s="79" t="s">
        <v>288</v>
      </c>
      <c r="E130" s="79" t="s">
        <v>289</v>
      </c>
      <c r="F130" s="79" t="s">
        <v>167</v>
      </c>
      <c r="G130" s="79" t="s">
        <v>290</v>
      </c>
      <c r="H130" s="79" t="s">
        <v>13</v>
      </c>
      <c r="I130" s="79" t="s">
        <v>13</v>
      </c>
      <c r="J130" s="79" t="s">
        <v>14</v>
      </c>
      <c r="K130" s="79" t="s">
        <v>12</v>
      </c>
      <c r="L130" s="79" t="s">
        <v>408</v>
      </c>
      <c r="M130" s="79" t="s">
        <v>292</v>
      </c>
      <c r="N130" s="81">
        <v>566375</v>
      </c>
      <c r="O130" s="93">
        <v>263</v>
      </c>
      <c r="P130" s="71" t="s">
        <v>671</v>
      </c>
      <c r="Q130" s="172">
        <v>566375</v>
      </c>
      <c r="R130" s="81">
        <f t="shared" si="2"/>
        <v>0</v>
      </c>
    </row>
    <row r="131" spans="2:18" ht="23.25" customHeight="1">
      <c r="B131" s="79" t="s">
        <v>437</v>
      </c>
      <c r="C131" s="79" t="s">
        <v>287</v>
      </c>
      <c r="D131" s="79" t="s">
        <v>288</v>
      </c>
      <c r="E131" s="79" t="s">
        <v>289</v>
      </c>
      <c r="F131" s="79" t="s">
        <v>167</v>
      </c>
      <c r="G131" s="79" t="s">
        <v>290</v>
      </c>
      <c r="H131" s="79" t="s">
        <v>13</v>
      </c>
      <c r="I131" s="79" t="s">
        <v>13</v>
      </c>
      <c r="J131" s="79" t="s">
        <v>14</v>
      </c>
      <c r="K131" s="79" t="s">
        <v>12</v>
      </c>
      <c r="L131" s="79" t="s">
        <v>408</v>
      </c>
      <c r="M131" s="79" t="s">
        <v>292</v>
      </c>
      <c r="N131" s="81">
        <v>136750</v>
      </c>
      <c r="O131" s="93">
        <v>242</v>
      </c>
      <c r="P131" s="79" t="s">
        <v>654</v>
      </c>
      <c r="Q131" s="82">
        <v>136750</v>
      </c>
      <c r="R131" s="81">
        <f t="shared" si="2"/>
        <v>0</v>
      </c>
    </row>
    <row r="132" spans="2:18" ht="23.25" customHeight="1">
      <c r="B132" s="79" t="s">
        <v>438</v>
      </c>
      <c r="C132" s="79" t="s">
        <v>287</v>
      </c>
      <c r="D132" s="79" t="s">
        <v>288</v>
      </c>
      <c r="E132" s="79" t="s">
        <v>289</v>
      </c>
      <c r="F132" s="79" t="s">
        <v>167</v>
      </c>
      <c r="G132" s="79" t="s">
        <v>290</v>
      </c>
      <c r="H132" s="79" t="s">
        <v>13</v>
      </c>
      <c r="I132" s="79" t="s">
        <v>13</v>
      </c>
      <c r="J132" s="79" t="s">
        <v>14</v>
      </c>
      <c r="K132" s="79" t="s">
        <v>12</v>
      </c>
      <c r="L132" s="79" t="s">
        <v>408</v>
      </c>
      <c r="M132" s="79" t="s">
        <v>292</v>
      </c>
      <c r="N132" s="81">
        <v>111937.5</v>
      </c>
      <c r="O132" s="93">
        <v>243</v>
      </c>
      <c r="P132" s="79" t="s">
        <v>655</v>
      </c>
      <c r="Q132" s="82">
        <v>111937.5</v>
      </c>
      <c r="R132" s="81">
        <f t="shared" si="2"/>
        <v>0</v>
      </c>
    </row>
    <row r="133" spans="2:18" ht="23.25" customHeight="1">
      <c r="B133" s="79" t="s">
        <v>439</v>
      </c>
      <c r="C133" s="79" t="s">
        <v>287</v>
      </c>
      <c r="D133" s="79" t="s">
        <v>288</v>
      </c>
      <c r="E133" s="79" t="s">
        <v>289</v>
      </c>
      <c r="F133" s="79" t="s">
        <v>167</v>
      </c>
      <c r="G133" s="79" t="s">
        <v>290</v>
      </c>
      <c r="H133" s="79" t="s">
        <v>13</v>
      </c>
      <c r="I133" s="79" t="s">
        <v>13</v>
      </c>
      <c r="J133" s="79" t="s">
        <v>14</v>
      </c>
      <c r="K133" s="79" t="s">
        <v>12</v>
      </c>
      <c r="L133" s="79" t="s">
        <v>408</v>
      </c>
      <c r="M133" s="79" t="s">
        <v>292</v>
      </c>
      <c r="N133" s="81">
        <v>204562.5</v>
      </c>
      <c r="O133" s="93">
        <v>244</v>
      </c>
      <c r="P133" s="79" t="s">
        <v>656</v>
      </c>
      <c r="Q133" s="82">
        <v>204562.5</v>
      </c>
      <c r="R133" s="81">
        <f t="shared" si="2"/>
        <v>0</v>
      </c>
    </row>
    <row r="134" spans="2:18" ht="23.25" customHeight="1">
      <c r="B134" s="79" t="s">
        <v>440</v>
      </c>
      <c r="C134" s="79" t="s">
        <v>287</v>
      </c>
      <c r="D134" s="79" t="s">
        <v>288</v>
      </c>
      <c r="E134" s="79" t="s">
        <v>289</v>
      </c>
      <c r="F134" s="79" t="s">
        <v>167</v>
      </c>
      <c r="G134" s="79" t="s">
        <v>290</v>
      </c>
      <c r="H134" s="79" t="s">
        <v>13</v>
      </c>
      <c r="I134" s="79" t="s">
        <v>13</v>
      </c>
      <c r="J134" s="79" t="s">
        <v>14</v>
      </c>
      <c r="K134" s="79" t="s">
        <v>12</v>
      </c>
      <c r="L134" s="79" t="s">
        <v>408</v>
      </c>
      <c r="M134" s="79" t="s">
        <v>292</v>
      </c>
      <c r="N134" s="81">
        <v>402250</v>
      </c>
      <c r="O134" s="93">
        <v>245</v>
      </c>
      <c r="P134" s="79" t="s">
        <v>657</v>
      </c>
      <c r="Q134" s="82">
        <v>402250</v>
      </c>
      <c r="R134" s="81">
        <f t="shared" ref="R134:R175" si="3">N134-Q134</f>
        <v>0</v>
      </c>
    </row>
    <row r="135" spans="2:18" ht="23.25" customHeight="1">
      <c r="B135" s="79" t="s">
        <v>441</v>
      </c>
      <c r="C135" s="79" t="s">
        <v>287</v>
      </c>
      <c r="D135" s="79" t="s">
        <v>288</v>
      </c>
      <c r="E135" s="79" t="s">
        <v>289</v>
      </c>
      <c r="F135" s="79" t="s">
        <v>167</v>
      </c>
      <c r="G135" s="79" t="s">
        <v>290</v>
      </c>
      <c r="H135" s="79" t="s">
        <v>13</v>
      </c>
      <c r="I135" s="79" t="s">
        <v>13</v>
      </c>
      <c r="J135" s="79" t="s">
        <v>14</v>
      </c>
      <c r="K135" s="79" t="s">
        <v>12</v>
      </c>
      <c r="L135" s="79" t="s">
        <v>408</v>
      </c>
      <c r="M135" s="79" t="s">
        <v>292</v>
      </c>
      <c r="N135" s="81">
        <v>372750</v>
      </c>
      <c r="O135" s="93">
        <v>246</v>
      </c>
      <c r="P135" s="79" t="s">
        <v>658</v>
      </c>
      <c r="Q135" s="82">
        <v>372750</v>
      </c>
      <c r="R135" s="81">
        <f t="shared" si="3"/>
        <v>0</v>
      </c>
    </row>
    <row r="136" spans="2:18" ht="23.25" customHeight="1">
      <c r="B136" s="79" t="s">
        <v>442</v>
      </c>
      <c r="C136" s="79" t="s">
        <v>287</v>
      </c>
      <c r="D136" s="79" t="s">
        <v>288</v>
      </c>
      <c r="E136" s="79" t="s">
        <v>289</v>
      </c>
      <c r="F136" s="79" t="s">
        <v>167</v>
      </c>
      <c r="G136" s="79" t="s">
        <v>290</v>
      </c>
      <c r="H136" s="79" t="s">
        <v>13</v>
      </c>
      <c r="I136" s="79" t="s">
        <v>13</v>
      </c>
      <c r="J136" s="79" t="s">
        <v>14</v>
      </c>
      <c r="K136" s="79" t="s">
        <v>12</v>
      </c>
      <c r="L136" s="79" t="s">
        <v>408</v>
      </c>
      <c r="M136" s="79" t="s">
        <v>292</v>
      </c>
      <c r="N136" s="81">
        <v>245125</v>
      </c>
      <c r="O136" s="93">
        <v>247</v>
      </c>
      <c r="P136" s="79" t="s">
        <v>659</v>
      </c>
      <c r="Q136" s="82">
        <v>245125</v>
      </c>
      <c r="R136" s="81">
        <f t="shared" si="3"/>
        <v>0</v>
      </c>
    </row>
    <row r="137" spans="2:18" ht="23.25" customHeight="1">
      <c r="B137" s="79" t="s">
        <v>443</v>
      </c>
      <c r="C137" s="79" t="s">
        <v>287</v>
      </c>
      <c r="D137" s="79" t="s">
        <v>288</v>
      </c>
      <c r="E137" s="79" t="s">
        <v>289</v>
      </c>
      <c r="F137" s="79" t="s">
        <v>167</v>
      </c>
      <c r="G137" s="79" t="s">
        <v>290</v>
      </c>
      <c r="H137" s="79" t="s">
        <v>13</v>
      </c>
      <c r="I137" s="79" t="s">
        <v>13</v>
      </c>
      <c r="J137" s="79" t="s">
        <v>14</v>
      </c>
      <c r="K137" s="79" t="s">
        <v>12</v>
      </c>
      <c r="L137" s="79" t="s">
        <v>408</v>
      </c>
      <c r="M137" s="79" t="s">
        <v>292</v>
      </c>
      <c r="N137" s="81">
        <v>240500</v>
      </c>
      <c r="O137" s="93">
        <v>248</v>
      </c>
      <c r="P137" s="79" t="s">
        <v>660</v>
      </c>
      <c r="Q137" s="82">
        <v>240500</v>
      </c>
      <c r="R137" s="81">
        <f t="shared" si="3"/>
        <v>0</v>
      </c>
    </row>
    <row r="138" spans="2:18" ht="23.25" customHeight="1">
      <c r="B138" s="79" t="s">
        <v>444</v>
      </c>
      <c r="C138" s="79" t="s">
        <v>287</v>
      </c>
      <c r="D138" s="79" t="s">
        <v>288</v>
      </c>
      <c r="E138" s="79" t="s">
        <v>289</v>
      </c>
      <c r="F138" s="79" t="s">
        <v>167</v>
      </c>
      <c r="G138" s="79" t="s">
        <v>290</v>
      </c>
      <c r="H138" s="79" t="s">
        <v>13</v>
      </c>
      <c r="I138" s="79" t="s">
        <v>13</v>
      </c>
      <c r="J138" s="79" t="s">
        <v>14</v>
      </c>
      <c r="K138" s="79" t="s">
        <v>12</v>
      </c>
      <c r="L138" s="79" t="s">
        <v>408</v>
      </c>
      <c r="M138" s="79" t="s">
        <v>292</v>
      </c>
      <c r="N138" s="81">
        <v>1888312.5</v>
      </c>
      <c r="O138" s="93">
        <v>265</v>
      </c>
      <c r="P138" s="79" t="s">
        <v>672</v>
      </c>
      <c r="Q138" s="82">
        <v>1888312.5</v>
      </c>
      <c r="R138" s="81">
        <f t="shared" si="3"/>
        <v>0</v>
      </c>
    </row>
    <row r="139" spans="2:18" ht="23.25" customHeight="1">
      <c r="B139" s="79" t="s">
        <v>445</v>
      </c>
      <c r="C139" s="79" t="s">
        <v>287</v>
      </c>
      <c r="D139" s="79" t="s">
        <v>288</v>
      </c>
      <c r="E139" s="79" t="s">
        <v>289</v>
      </c>
      <c r="F139" s="79" t="s">
        <v>167</v>
      </c>
      <c r="G139" s="79" t="s">
        <v>290</v>
      </c>
      <c r="H139" s="79" t="s">
        <v>13</v>
      </c>
      <c r="I139" s="79" t="s">
        <v>13</v>
      </c>
      <c r="J139" s="79" t="s">
        <v>14</v>
      </c>
      <c r="K139" s="79" t="s">
        <v>12</v>
      </c>
      <c r="L139" s="79" t="s">
        <v>408</v>
      </c>
      <c r="M139" s="79" t="s">
        <v>292</v>
      </c>
      <c r="N139" s="81">
        <v>720750</v>
      </c>
      <c r="O139" s="93">
        <v>267</v>
      </c>
      <c r="P139" s="79" t="s">
        <v>674</v>
      </c>
      <c r="Q139" s="82">
        <v>720750</v>
      </c>
      <c r="R139" s="81">
        <f t="shared" si="3"/>
        <v>0</v>
      </c>
    </row>
    <row r="140" spans="2:18" ht="23.25" customHeight="1">
      <c r="B140" s="79" t="s">
        <v>446</v>
      </c>
      <c r="C140" s="79" t="s">
        <v>287</v>
      </c>
      <c r="D140" s="79" t="s">
        <v>288</v>
      </c>
      <c r="E140" s="79" t="s">
        <v>289</v>
      </c>
      <c r="F140" s="79" t="s">
        <v>167</v>
      </c>
      <c r="G140" s="79" t="s">
        <v>290</v>
      </c>
      <c r="H140" s="79" t="s">
        <v>13</v>
      </c>
      <c r="I140" s="79" t="s">
        <v>13</v>
      </c>
      <c r="J140" s="79" t="s">
        <v>14</v>
      </c>
      <c r="K140" s="79" t="s">
        <v>12</v>
      </c>
      <c r="L140" s="79" t="s">
        <v>408</v>
      </c>
      <c r="M140" s="79" t="s">
        <v>292</v>
      </c>
      <c r="N140" s="81">
        <v>818750</v>
      </c>
      <c r="O140" s="93">
        <v>269</v>
      </c>
      <c r="P140" s="79" t="s">
        <v>676</v>
      </c>
      <c r="Q140" s="82">
        <v>818750</v>
      </c>
      <c r="R140" s="81">
        <f t="shared" si="3"/>
        <v>0</v>
      </c>
    </row>
    <row r="141" spans="2:18" ht="23.25" customHeight="1">
      <c r="B141" s="79" t="s">
        <v>447</v>
      </c>
      <c r="C141" s="79" t="s">
        <v>287</v>
      </c>
      <c r="D141" s="79" t="s">
        <v>288</v>
      </c>
      <c r="E141" s="79" t="s">
        <v>289</v>
      </c>
      <c r="F141" s="79" t="s">
        <v>167</v>
      </c>
      <c r="G141" s="79" t="s">
        <v>290</v>
      </c>
      <c r="H141" s="79" t="s">
        <v>13</v>
      </c>
      <c r="I141" s="79" t="s">
        <v>13</v>
      </c>
      <c r="J141" s="79" t="s">
        <v>14</v>
      </c>
      <c r="K141" s="79" t="s">
        <v>12</v>
      </c>
      <c r="L141" s="79" t="s">
        <v>408</v>
      </c>
      <c r="M141" s="79" t="s">
        <v>292</v>
      </c>
      <c r="N141" s="81">
        <v>849500</v>
      </c>
      <c r="O141" s="93">
        <v>271</v>
      </c>
      <c r="P141" s="79" t="s">
        <v>678</v>
      </c>
      <c r="Q141" s="82">
        <v>849500</v>
      </c>
      <c r="R141" s="81">
        <f t="shared" si="3"/>
        <v>0</v>
      </c>
    </row>
    <row r="142" spans="2:18" ht="23.25" customHeight="1">
      <c r="B142" s="79" t="s">
        <v>448</v>
      </c>
      <c r="C142" s="79" t="s">
        <v>287</v>
      </c>
      <c r="D142" s="79" t="s">
        <v>288</v>
      </c>
      <c r="E142" s="79" t="s">
        <v>289</v>
      </c>
      <c r="F142" s="79" t="s">
        <v>167</v>
      </c>
      <c r="G142" s="79" t="s">
        <v>290</v>
      </c>
      <c r="H142" s="79" t="s">
        <v>13</v>
      </c>
      <c r="I142" s="79" t="s">
        <v>13</v>
      </c>
      <c r="J142" s="79" t="s">
        <v>14</v>
      </c>
      <c r="K142" s="79" t="s">
        <v>12</v>
      </c>
      <c r="L142" s="79" t="s">
        <v>408</v>
      </c>
      <c r="M142" s="79" t="s">
        <v>292</v>
      </c>
      <c r="N142" s="81">
        <v>1355875</v>
      </c>
      <c r="O142" s="93">
        <v>272</v>
      </c>
      <c r="P142" s="79" t="s">
        <v>679</v>
      </c>
      <c r="Q142" s="82">
        <v>1355875</v>
      </c>
      <c r="R142" s="81">
        <f t="shared" si="3"/>
        <v>0</v>
      </c>
    </row>
    <row r="143" spans="2:18" ht="23.25" customHeight="1">
      <c r="B143" s="79" t="s">
        <v>449</v>
      </c>
      <c r="C143" s="79" t="s">
        <v>287</v>
      </c>
      <c r="D143" s="79" t="s">
        <v>288</v>
      </c>
      <c r="E143" s="79" t="s">
        <v>289</v>
      </c>
      <c r="F143" s="79" t="s">
        <v>167</v>
      </c>
      <c r="G143" s="79" t="s">
        <v>290</v>
      </c>
      <c r="H143" s="79" t="s">
        <v>13</v>
      </c>
      <c r="I143" s="79" t="s">
        <v>13</v>
      </c>
      <c r="J143" s="79" t="s">
        <v>14</v>
      </c>
      <c r="K143" s="79" t="s">
        <v>12</v>
      </c>
      <c r="L143" s="79" t="s">
        <v>408</v>
      </c>
      <c r="M143" s="79" t="s">
        <v>292</v>
      </c>
      <c r="N143" s="81">
        <v>1301875</v>
      </c>
      <c r="O143" s="93">
        <v>273</v>
      </c>
      <c r="P143" s="79" t="s">
        <v>680</v>
      </c>
      <c r="Q143" s="82">
        <v>1301875</v>
      </c>
      <c r="R143" s="81">
        <f t="shared" si="3"/>
        <v>0</v>
      </c>
    </row>
    <row r="144" spans="2:18" ht="23.25" customHeight="1">
      <c r="B144" s="79" t="s">
        <v>450</v>
      </c>
      <c r="C144" s="79" t="s">
        <v>287</v>
      </c>
      <c r="D144" s="79" t="s">
        <v>288</v>
      </c>
      <c r="E144" s="79" t="s">
        <v>289</v>
      </c>
      <c r="F144" s="79" t="s">
        <v>167</v>
      </c>
      <c r="G144" s="79" t="s">
        <v>290</v>
      </c>
      <c r="H144" s="79" t="s">
        <v>13</v>
      </c>
      <c r="I144" s="79" t="s">
        <v>13</v>
      </c>
      <c r="J144" s="79" t="s">
        <v>14</v>
      </c>
      <c r="K144" s="79" t="s">
        <v>12</v>
      </c>
      <c r="L144" s="79" t="s">
        <v>408</v>
      </c>
      <c r="M144" s="79" t="s">
        <v>292</v>
      </c>
      <c r="N144" s="81">
        <v>1082000</v>
      </c>
      <c r="O144" s="93">
        <v>274</v>
      </c>
      <c r="P144" s="79" t="s">
        <v>681</v>
      </c>
      <c r="Q144" s="82">
        <v>1082000</v>
      </c>
      <c r="R144" s="81">
        <f t="shared" si="3"/>
        <v>0</v>
      </c>
    </row>
    <row r="145" spans="2:18" ht="23.25" customHeight="1">
      <c r="B145" s="79" t="s">
        <v>451</v>
      </c>
      <c r="C145" s="79" t="s">
        <v>287</v>
      </c>
      <c r="D145" s="79" t="s">
        <v>288</v>
      </c>
      <c r="E145" s="79" t="s">
        <v>289</v>
      </c>
      <c r="F145" s="79" t="s">
        <v>167</v>
      </c>
      <c r="G145" s="79" t="s">
        <v>290</v>
      </c>
      <c r="H145" s="79" t="s">
        <v>13</v>
      </c>
      <c r="I145" s="79" t="s">
        <v>13</v>
      </c>
      <c r="J145" s="79" t="s">
        <v>14</v>
      </c>
      <c r="K145" s="79" t="s">
        <v>12</v>
      </c>
      <c r="L145" s="79" t="s">
        <v>408</v>
      </c>
      <c r="M145" s="79" t="s">
        <v>292</v>
      </c>
      <c r="N145" s="81">
        <v>805625</v>
      </c>
      <c r="O145" s="93">
        <v>275</v>
      </c>
      <c r="P145" s="79" t="s">
        <v>682</v>
      </c>
      <c r="Q145" s="82">
        <v>805625</v>
      </c>
      <c r="R145" s="81">
        <f t="shared" si="3"/>
        <v>0</v>
      </c>
    </row>
    <row r="146" spans="2:18" ht="23.25" customHeight="1">
      <c r="B146" s="79" t="s">
        <v>452</v>
      </c>
      <c r="C146" s="79" t="s">
        <v>287</v>
      </c>
      <c r="D146" s="79" t="s">
        <v>288</v>
      </c>
      <c r="E146" s="79" t="s">
        <v>289</v>
      </c>
      <c r="F146" s="79" t="s">
        <v>167</v>
      </c>
      <c r="G146" s="79" t="s">
        <v>290</v>
      </c>
      <c r="H146" s="79" t="s">
        <v>13</v>
      </c>
      <c r="I146" s="79" t="s">
        <v>13</v>
      </c>
      <c r="J146" s="79" t="s">
        <v>14</v>
      </c>
      <c r="K146" s="79" t="s">
        <v>12</v>
      </c>
      <c r="L146" s="79" t="s">
        <v>408</v>
      </c>
      <c r="M146" s="79" t="s">
        <v>292</v>
      </c>
      <c r="N146" s="81">
        <v>206000</v>
      </c>
      <c r="O146" s="93">
        <v>276</v>
      </c>
      <c r="P146" s="79" t="s">
        <v>683</v>
      </c>
      <c r="Q146" s="82">
        <v>206000</v>
      </c>
      <c r="R146" s="81">
        <f t="shared" si="3"/>
        <v>0</v>
      </c>
    </row>
    <row r="147" spans="2:18" ht="23.25" customHeight="1">
      <c r="B147" s="79" t="s">
        <v>453</v>
      </c>
      <c r="C147" s="79" t="s">
        <v>287</v>
      </c>
      <c r="D147" s="79" t="s">
        <v>288</v>
      </c>
      <c r="E147" s="79" t="s">
        <v>289</v>
      </c>
      <c r="F147" s="79" t="s">
        <v>167</v>
      </c>
      <c r="G147" s="79" t="s">
        <v>290</v>
      </c>
      <c r="H147" s="79" t="s">
        <v>13</v>
      </c>
      <c r="I147" s="79" t="s">
        <v>13</v>
      </c>
      <c r="J147" s="79" t="s">
        <v>14</v>
      </c>
      <c r="K147" s="79" t="s">
        <v>12</v>
      </c>
      <c r="L147" s="79" t="s">
        <v>408</v>
      </c>
      <c r="M147" s="79" t="s">
        <v>292</v>
      </c>
      <c r="N147" s="81">
        <v>427875</v>
      </c>
      <c r="O147" s="93">
        <v>277</v>
      </c>
      <c r="P147" s="79" t="s">
        <v>684</v>
      </c>
      <c r="Q147" s="82">
        <v>427875</v>
      </c>
      <c r="R147" s="81">
        <f t="shared" si="3"/>
        <v>0</v>
      </c>
    </row>
    <row r="148" spans="2:18" ht="23.25" customHeight="1">
      <c r="B148" s="79" t="s">
        <v>454</v>
      </c>
      <c r="C148" s="79" t="s">
        <v>287</v>
      </c>
      <c r="D148" s="79" t="s">
        <v>288</v>
      </c>
      <c r="E148" s="79" t="s">
        <v>289</v>
      </c>
      <c r="F148" s="79" t="s">
        <v>167</v>
      </c>
      <c r="G148" s="79" t="s">
        <v>290</v>
      </c>
      <c r="H148" s="79" t="s">
        <v>13</v>
      </c>
      <c r="I148" s="79" t="s">
        <v>13</v>
      </c>
      <c r="J148" s="79" t="s">
        <v>14</v>
      </c>
      <c r="K148" s="79" t="s">
        <v>12</v>
      </c>
      <c r="L148" s="79" t="s">
        <v>408</v>
      </c>
      <c r="M148" s="79" t="s">
        <v>292</v>
      </c>
      <c r="N148" s="81">
        <v>474625</v>
      </c>
      <c r="O148" s="93">
        <v>278</v>
      </c>
      <c r="P148" s="79" t="s">
        <v>685</v>
      </c>
      <c r="Q148" s="82">
        <v>474625</v>
      </c>
      <c r="R148" s="81">
        <f t="shared" si="3"/>
        <v>0</v>
      </c>
    </row>
    <row r="149" spans="2:18" ht="23.25" customHeight="1">
      <c r="B149" s="79" t="s">
        <v>455</v>
      </c>
      <c r="C149" s="79" t="s">
        <v>287</v>
      </c>
      <c r="D149" s="79" t="s">
        <v>288</v>
      </c>
      <c r="E149" s="79" t="s">
        <v>289</v>
      </c>
      <c r="F149" s="79" t="s">
        <v>167</v>
      </c>
      <c r="G149" s="79" t="s">
        <v>290</v>
      </c>
      <c r="H149" s="79" t="s">
        <v>13</v>
      </c>
      <c r="I149" s="79" t="s">
        <v>13</v>
      </c>
      <c r="J149" s="79" t="s">
        <v>14</v>
      </c>
      <c r="K149" s="79" t="s">
        <v>12</v>
      </c>
      <c r="L149" s="79" t="s">
        <v>408</v>
      </c>
      <c r="M149" s="79" t="s">
        <v>292</v>
      </c>
      <c r="N149" s="81">
        <v>632000</v>
      </c>
      <c r="O149" s="93">
        <v>279</v>
      </c>
      <c r="P149" s="79" t="s">
        <v>686</v>
      </c>
      <c r="Q149" s="82">
        <v>632000</v>
      </c>
      <c r="R149" s="81">
        <f t="shared" si="3"/>
        <v>0</v>
      </c>
    </row>
    <row r="150" spans="2:18" ht="23.25" customHeight="1">
      <c r="B150" s="79" t="s">
        <v>456</v>
      </c>
      <c r="C150" s="79" t="s">
        <v>287</v>
      </c>
      <c r="D150" s="79" t="s">
        <v>288</v>
      </c>
      <c r="E150" s="79" t="s">
        <v>289</v>
      </c>
      <c r="F150" s="79" t="s">
        <v>167</v>
      </c>
      <c r="G150" s="79" t="s">
        <v>290</v>
      </c>
      <c r="H150" s="79" t="s">
        <v>13</v>
      </c>
      <c r="I150" s="79" t="s">
        <v>13</v>
      </c>
      <c r="J150" s="79" t="s">
        <v>14</v>
      </c>
      <c r="K150" s="79" t="s">
        <v>12</v>
      </c>
      <c r="L150" s="79" t="s">
        <v>408</v>
      </c>
      <c r="M150" s="79" t="s">
        <v>292</v>
      </c>
      <c r="N150" s="81">
        <v>1073375</v>
      </c>
      <c r="O150" s="93">
        <v>280</v>
      </c>
      <c r="P150" s="79" t="s">
        <v>687</v>
      </c>
      <c r="Q150" s="82">
        <v>1073375</v>
      </c>
      <c r="R150" s="81">
        <f t="shared" si="3"/>
        <v>0</v>
      </c>
    </row>
    <row r="151" spans="2:18" ht="23.25" customHeight="1">
      <c r="B151" s="79" t="s">
        <v>457</v>
      </c>
      <c r="C151" s="79" t="s">
        <v>287</v>
      </c>
      <c r="D151" s="79" t="s">
        <v>288</v>
      </c>
      <c r="E151" s="79" t="s">
        <v>289</v>
      </c>
      <c r="F151" s="79" t="s">
        <v>167</v>
      </c>
      <c r="G151" s="79" t="s">
        <v>290</v>
      </c>
      <c r="H151" s="79" t="s">
        <v>13</v>
      </c>
      <c r="I151" s="79" t="s">
        <v>13</v>
      </c>
      <c r="J151" s="79" t="s">
        <v>14</v>
      </c>
      <c r="K151" s="79" t="s">
        <v>12</v>
      </c>
      <c r="L151" s="79" t="s">
        <v>408</v>
      </c>
      <c r="M151" s="79" t="s">
        <v>292</v>
      </c>
      <c r="N151" s="81">
        <v>931750</v>
      </c>
      <c r="O151" s="93">
        <v>281</v>
      </c>
      <c r="P151" s="79" t="s">
        <v>688</v>
      </c>
      <c r="Q151" s="82">
        <v>931750</v>
      </c>
      <c r="R151" s="81">
        <f t="shared" si="3"/>
        <v>0</v>
      </c>
    </row>
    <row r="152" spans="2:18" ht="23.25" customHeight="1">
      <c r="B152" s="79" t="s">
        <v>458</v>
      </c>
      <c r="C152" s="79" t="s">
        <v>287</v>
      </c>
      <c r="D152" s="79" t="s">
        <v>288</v>
      </c>
      <c r="E152" s="79" t="s">
        <v>289</v>
      </c>
      <c r="F152" s="79" t="s">
        <v>167</v>
      </c>
      <c r="G152" s="79" t="s">
        <v>290</v>
      </c>
      <c r="H152" s="79" t="s">
        <v>13</v>
      </c>
      <c r="I152" s="79" t="s">
        <v>13</v>
      </c>
      <c r="J152" s="79" t="s">
        <v>14</v>
      </c>
      <c r="K152" s="79" t="s">
        <v>12</v>
      </c>
      <c r="L152" s="79" t="s">
        <v>408</v>
      </c>
      <c r="M152" s="79" t="s">
        <v>292</v>
      </c>
      <c r="N152" s="81">
        <v>695125</v>
      </c>
      <c r="O152" s="93">
        <v>282</v>
      </c>
      <c r="P152" s="79" t="s">
        <v>689</v>
      </c>
      <c r="Q152" s="82">
        <v>695125</v>
      </c>
      <c r="R152" s="81">
        <f t="shared" si="3"/>
        <v>0</v>
      </c>
    </row>
    <row r="153" spans="2:18" ht="23.25" customHeight="1">
      <c r="B153" s="79" t="s">
        <v>459</v>
      </c>
      <c r="C153" s="79" t="s">
        <v>287</v>
      </c>
      <c r="D153" s="79" t="s">
        <v>288</v>
      </c>
      <c r="E153" s="79" t="s">
        <v>289</v>
      </c>
      <c r="F153" s="79" t="s">
        <v>167</v>
      </c>
      <c r="G153" s="79" t="s">
        <v>290</v>
      </c>
      <c r="H153" s="79" t="s">
        <v>13</v>
      </c>
      <c r="I153" s="79" t="s">
        <v>13</v>
      </c>
      <c r="J153" s="79" t="s">
        <v>14</v>
      </c>
      <c r="K153" s="79" t="s">
        <v>12</v>
      </c>
      <c r="L153" s="79" t="s">
        <v>408</v>
      </c>
      <c r="M153" s="79" t="s">
        <v>292</v>
      </c>
      <c r="N153" s="81">
        <v>413500</v>
      </c>
      <c r="O153" s="93">
        <v>283</v>
      </c>
      <c r="P153" s="79" t="s">
        <v>690</v>
      </c>
      <c r="Q153" s="82">
        <v>413500</v>
      </c>
      <c r="R153" s="81">
        <f t="shared" si="3"/>
        <v>0</v>
      </c>
    </row>
    <row r="154" spans="2:18" ht="23.25" customHeight="1">
      <c r="B154" s="79" t="s">
        <v>460</v>
      </c>
      <c r="C154" s="79" t="s">
        <v>287</v>
      </c>
      <c r="D154" s="79" t="s">
        <v>288</v>
      </c>
      <c r="E154" s="79" t="s">
        <v>289</v>
      </c>
      <c r="F154" s="79" t="s">
        <v>167</v>
      </c>
      <c r="G154" s="79" t="s">
        <v>290</v>
      </c>
      <c r="H154" s="79" t="s">
        <v>13</v>
      </c>
      <c r="I154" s="79" t="s">
        <v>13</v>
      </c>
      <c r="J154" s="79" t="s">
        <v>14</v>
      </c>
      <c r="K154" s="79" t="s">
        <v>12</v>
      </c>
      <c r="L154" s="79" t="s">
        <v>461</v>
      </c>
      <c r="M154" s="79" t="s">
        <v>292</v>
      </c>
      <c r="N154" s="81">
        <v>441500</v>
      </c>
      <c r="O154" s="93">
        <v>287</v>
      </c>
      <c r="P154" s="79" t="s">
        <v>694</v>
      </c>
      <c r="Q154" s="82">
        <v>441500</v>
      </c>
      <c r="R154" s="81">
        <f t="shared" si="3"/>
        <v>0</v>
      </c>
    </row>
    <row r="155" spans="2:18" ht="23.25" customHeight="1">
      <c r="B155" s="79" t="s">
        <v>462</v>
      </c>
      <c r="C155" s="79" t="s">
        <v>287</v>
      </c>
      <c r="D155" s="79" t="s">
        <v>288</v>
      </c>
      <c r="E155" s="79" t="s">
        <v>289</v>
      </c>
      <c r="F155" s="79" t="s">
        <v>167</v>
      </c>
      <c r="G155" s="79" t="s">
        <v>290</v>
      </c>
      <c r="H155" s="79" t="s">
        <v>13</v>
      </c>
      <c r="I155" s="79" t="s">
        <v>13</v>
      </c>
      <c r="J155" s="79" t="s">
        <v>14</v>
      </c>
      <c r="K155" s="79" t="s">
        <v>12</v>
      </c>
      <c r="L155" s="79" t="s">
        <v>461</v>
      </c>
      <c r="M155" s="79" t="s">
        <v>292</v>
      </c>
      <c r="N155" s="81">
        <v>516500</v>
      </c>
      <c r="O155" s="93">
        <v>289</v>
      </c>
      <c r="P155" s="79" t="s">
        <v>696</v>
      </c>
      <c r="Q155" s="82">
        <v>516500</v>
      </c>
      <c r="R155" s="81">
        <f t="shared" si="3"/>
        <v>0</v>
      </c>
    </row>
    <row r="156" spans="2:18" ht="23.25" customHeight="1">
      <c r="B156" s="79" t="s">
        <v>463</v>
      </c>
      <c r="C156" s="79" t="s">
        <v>287</v>
      </c>
      <c r="D156" s="79" t="s">
        <v>288</v>
      </c>
      <c r="E156" s="79" t="s">
        <v>289</v>
      </c>
      <c r="F156" s="79" t="s">
        <v>167</v>
      </c>
      <c r="G156" s="79" t="s">
        <v>290</v>
      </c>
      <c r="H156" s="79" t="s">
        <v>13</v>
      </c>
      <c r="I156" s="79" t="s">
        <v>13</v>
      </c>
      <c r="J156" s="79" t="s">
        <v>14</v>
      </c>
      <c r="K156" s="79" t="s">
        <v>12</v>
      </c>
      <c r="L156" s="79" t="s">
        <v>461</v>
      </c>
      <c r="M156" s="79" t="s">
        <v>292</v>
      </c>
      <c r="N156" s="81">
        <v>583000</v>
      </c>
      <c r="O156" s="93">
        <v>291</v>
      </c>
      <c r="P156" s="79" t="s">
        <v>698</v>
      </c>
      <c r="Q156" s="82">
        <v>583000</v>
      </c>
      <c r="R156" s="81">
        <f t="shared" si="3"/>
        <v>0</v>
      </c>
    </row>
    <row r="157" spans="2:18" ht="23.25" customHeight="1">
      <c r="B157" s="79" t="s">
        <v>464</v>
      </c>
      <c r="C157" s="79" t="s">
        <v>287</v>
      </c>
      <c r="D157" s="79" t="s">
        <v>288</v>
      </c>
      <c r="E157" s="79" t="s">
        <v>289</v>
      </c>
      <c r="F157" s="79" t="s">
        <v>167</v>
      </c>
      <c r="G157" s="79" t="s">
        <v>290</v>
      </c>
      <c r="H157" s="79" t="s">
        <v>13</v>
      </c>
      <c r="I157" s="79" t="s">
        <v>13</v>
      </c>
      <c r="J157" s="79" t="s">
        <v>14</v>
      </c>
      <c r="K157" s="79" t="s">
        <v>12</v>
      </c>
      <c r="L157" s="79" t="s">
        <v>461</v>
      </c>
      <c r="M157" s="79" t="s">
        <v>292</v>
      </c>
      <c r="N157" s="81">
        <v>836500</v>
      </c>
      <c r="O157" s="93">
        <v>293</v>
      </c>
      <c r="P157" s="79" t="s">
        <v>700</v>
      </c>
      <c r="Q157" s="82">
        <v>836500</v>
      </c>
      <c r="R157" s="81">
        <f t="shared" si="3"/>
        <v>0</v>
      </c>
    </row>
    <row r="158" spans="2:18" ht="23.25" customHeight="1">
      <c r="B158" s="79" t="s">
        <v>465</v>
      </c>
      <c r="C158" s="79" t="s">
        <v>287</v>
      </c>
      <c r="D158" s="79" t="s">
        <v>288</v>
      </c>
      <c r="E158" s="79" t="s">
        <v>289</v>
      </c>
      <c r="F158" s="79" t="s">
        <v>167</v>
      </c>
      <c r="G158" s="79" t="s">
        <v>290</v>
      </c>
      <c r="H158" s="79" t="s">
        <v>13</v>
      </c>
      <c r="I158" s="79" t="s">
        <v>13</v>
      </c>
      <c r="J158" s="79" t="s">
        <v>14</v>
      </c>
      <c r="K158" s="79" t="s">
        <v>12</v>
      </c>
      <c r="L158" s="79" t="s">
        <v>461</v>
      </c>
      <c r="M158" s="79" t="s">
        <v>292</v>
      </c>
      <c r="N158" s="81">
        <v>3377625</v>
      </c>
      <c r="O158" s="93">
        <v>301</v>
      </c>
      <c r="P158" s="79" t="s">
        <v>708</v>
      </c>
      <c r="Q158" s="82">
        <v>3377625</v>
      </c>
      <c r="R158" s="81">
        <f t="shared" si="3"/>
        <v>0</v>
      </c>
    </row>
    <row r="159" spans="2:18" ht="23.25" customHeight="1">
      <c r="B159" s="79" t="s">
        <v>466</v>
      </c>
      <c r="C159" s="79" t="s">
        <v>287</v>
      </c>
      <c r="D159" s="79" t="s">
        <v>288</v>
      </c>
      <c r="E159" s="79" t="s">
        <v>289</v>
      </c>
      <c r="F159" s="79" t="s">
        <v>167</v>
      </c>
      <c r="G159" s="79" t="s">
        <v>290</v>
      </c>
      <c r="H159" s="79" t="s">
        <v>13</v>
      </c>
      <c r="I159" s="79" t="s">
        <v>13</v>
      </c>
      <c r="J159" s="79" t="s">
        <v>14</v>
      </c>
      <c r="K159" s="79" t="s">
        <v>12</v>
      </c>
      <c r="L159" s="79" t="s">
        <v>461</v>
      </c>
      <c r="M159" s="79" t="s">
        <v>292</v>
      </c>
      <c r="N159" s="81">
        <v>856000</v>
      </c>
      <c r="O159" s="93">
        <v>295</v>
      </c>
      <c r="P159" s="79" t="s">
        <v>702</v>
      </c>
      <c r="Q159" s="82">
        <v>856000</v>
      </c>
      <c r="R159" s="81">
        <f t="shared" si="3"/>
        <v>0</v>
      </c>
    </row>
    <row r="160" spans="2:18" ht="23.25" customHeight="1">
      <c r="B160" s="79" t="s">
        <v>467</v>
      </c>
      <c r="C160" s="79" t="s">
        <v>287</v>
      </c>
      <c r="D160" s="79" t="s">
        <v>288</v>
      </c>
      <c r="E160" s="79" t="s">
        <v>289</v>
      </c>
      <c r="F160" s="79" t="s">
        <v>167</v>
      </c>
      <c r="G160" s="79" t="s">
        <v>290</v>
      </c>
      <c r="H160" s="79" t="s">
        <v>13</v>
      </c>
      <c r="I160" s="79" t="s">
        <v>13</v>
      </c>
      <c r="J160" s="79" t="s">
        <v>14</v>
      </c>
      <c r="K160" s="79" t="s">
        <v>12</v>
      </c>
      <c r="L160" s="79" t="s">
        <v>461</v>
      </c>
      <c r="M160" s="79" t="s">
        <v>292</v>
      </c>
      <c r="N160" s="81">
        <v>3209625</v>
      </c>
      <c r="O160" s="93">
        <v>302</v>
      </c>
      <c r="P160" s="79" t="s">
        <v>709</v>
      </c>
      <c r="Q160" s="82">
        <v>3209625</v>
      </c>
      <c r="R160" s="81">
        <f t="shared" si="3"/>
        <v>0</v>
      </c>
    </row>
    <row r="161" spans="2:18" ht="23.25" customHeight="1">
      <c r="B161" s="79" t="s">
        <v>468</v>
      </c>
      <c r="C161" s="79" t="s">
        <v>287</v>
      </c>
      <c r="D161" s="79" t="s">
        <v>288</v>
      </c>
      <c r="E161" s="79" t="s">
        <v>289</v>
      </c>
      <c r="F161" s="79" t="s">
        <v>167</v>
      </c>
      <c r="G161" s="79" t="s">
        <v>290</v>
      </c>
      <c r="H161" s="79" t="s">
        <v>13</v>
      </c>
      <c r="I161" s="79" t="s">
        <v>13</v>
      </c>
      <c r="J161" s="79" t="s">
        <v>14</v>
      </c>
      <c r="K161" s="79" t="s">
        <v>12</v>
      </c>
      <c r="L161" s="79" t="s">
        <v>461</v>
      </c>
      <c r="M161" s="79" t="s">
        <v>292</v>
      </c>
      <c r="N161" s="81">
        <v>830000</v>
      </c>
      <c r="O161" s="93">
        <v>297</v>
      </c>
      <c r="P161" s="79" t="s">
        <v>704</v>
      </c>
      <c r="Q161" s="82">
        <v>830000</v>
      </c>
      <c r="R161" s="81">
        <f t="shared" si="3"/>
        <v>0</v>
      </c>
    </row>
    <row r="162" spans="2:18" ht="23.25" customHeight="1">
      <c r="B162" s="79" t="s">
        <v>469</v>
      </c>
      <c r="C162" s="79" t="s">
        <v>287</v>
      </c>
      <c r="D162" s="79" t="s">
        <v>288</v>
      </c>
      <c r="E162" s="79" t="s">
        <v>289</v>
      </c>
      <c r="F162" s="79" t="s">
        <v>167</v>
      </c>
      <c r="G162" s="79" t="s">
        <v>290</v>
      </c>
      <c r="H162" s="79" t="s">
        <v>13</v>
      </c>
      <c r="I162" s="79" t="s">
        <v>13</v>
      </c>
      <c r="J162" s="79" t="s">
        <v>14</v>
      </c>
      <c r="K162" s="79" t="s">
        <v>12</v>
      </c>
      <c r="L162" s="79" t="s">
        <v>461</v>
      </c>
      <c r="M162" s="79" t="s">
        <v>292</v>
      </c>
      <c r="N162" s="81">
        <v>3269687.5</v>
      </c>
      <c r="O162" s="93">
        <v>303</v>
      </c>
      <c r="P162" s="79" t="s">
        <v>710</v>
      </c>
      <c r="Q162" s="82">
        <v>3269687.5</v>
      </c>
      <c r="R162" s="81">
        <f t="shared" si="3"/>
        <v>0</v>
      </c>
    </row>
    <row r="163" spans="2:18" ht="23.25" customHeight="1">
      <c r="B163" s="79" t="s">
        <v>470</v>
      </c>
      <c r="C163" s="79" t="s">
        <v>287</v>
      </c>
      <c r="D163" s="79" t="s">
        <v>288</v>
      </c>
      <c r="E163" s="79" t="s">
        <v>289</v>
      </c>
      <c r="F163" s="79" t="s">
        <v>167</v>
      </c>
      <c r="G163" s="79" t="s">
        <v>290</v>
      </c>
      <c r="H163" s="79" t="s">
        <v>13</v>
      </c>
      <c r="I163" s="79" t="s">
        <v>13</v>
      </c>
      <c r="J163" s="79" t="s">
        <v>14</v>
      </c>
      <c r="K163" s="79" t="s">
        <v>12</v>
      </c>
      <c r="L163" s="79" t="s">
        <v>461</v>
      </c>
      <c r="M163" s="79" t="s">
        <v>292</v>
      </c>
      <c r="N163" s="81">
        <v>5887250</v>
      </c>
      <c r="O163" s="93">
        <v>304</v>
      </c>
      <c r="P163" s="79" t="s">
        <v>711</v>
      </c>
      <c r="Q163" s="82">
        <v>5887250</v>
      </c>
      <c r="R163" s="81">
        <f t="shared" si="3"/>
        <v>0</v>
      </c>
    </row>
    <row r="164" spans="2:18" ht="23.25" customHeight="1">
      <c r="B164" s="79" t="s">
        <v>471</v>
      </c>
      <c r="C164" s="79" t="s">
        <v>287</v>
      </c>
      <c r="D164" s="79" t="s">
        <v>288</v>
      </c>
      <c r="E164" s="79" t="s">
        <v>289</v>
      </c>
      <c r="F164" s="79" t="s">
        <v>167</v>
      </c>
      <c r="G164" s="79" t="s">
        <v>290</v>
      </c>
      <c r="H164" s="79" t="s">
        <v>13</v>
      </c>
      <c r="I164" s="79" t="s">
        <v>13</v>
      </c>
      <c r="J164" s="79" t="s">
        <v>14</v>
      </c>
      <c r="K164" s="79" t="s">
        <v>12</v>
      </c>
      <c r="L164" s="79" t="s">
        <v>461</v>
      </c>
      <c r="M164" s="79" t="s">
        <v>292</v>
      </c>
      <c r="N164" s="81">
        <v>6027875</v>
      </c>
      <c r="O164" s="93">
        <v>305</v>
      </c>
      <c r="P164" s="79" t="s">
        <v>712</v>
      </c>
      <c r="Q164" s="82">
        <v>6027875</v>
      </c>
      <c r="R164" s="81">
        <f t="shared" si="3"/>
        <v>0</v>
      </c>
    </row>
    <row r="165" spans="2:18" ht="23.25" customHeight="1">
      <c r="B165" s="79" t="s">
        <v>472</v>
      </c>
      <c r="C165" s="79" t="s">
        <v>287</v>
      </c>
      <c r="D165" s="79" t="s">
        <v>288</v>
      </c>
      <c r="E165" s="79" t="s">
        <v>289</v>
      </c>
      <c r="F165" s="79" t="s">
        <v>167</v>
      </c>
      <c r="G165" s="79" t="s">
        <v>290</v>
      </c>
      <c r="H165" s="79" t="s">
        <v>13</v>
      </c>
      <c r="I165" s="79" t="s">
        <v>13</v>
      </c>
      <c r="J165" s="79" t="s">
        <v>14</v>
      </c>
      <c r="K165" s="79" t="s">
        <v>12</v>
      </c>
      <c r="L165" s="79" t="s">
        <v>461</v>
      </c>
      <c r="M165" s="79" t="s">
        <v>292</v>
      </c>
      <c r="N165" s="81">
        <v>717000</v>
      </c>
      <c r="O165" s="93">
        <v>299</v>
      </c>
      <c r="P165" s="79" t="s">
        <v>706</v>
      </c>
      <c r="Q165" s="82">
        <v>717000</v>
      </c>
      <c r="R165" s="81">
        <f t="shared" si="3"/>
        <v>0</v>
      </c>
    </row>
    <row r="166" spans="2:18" ht="23.25" customHeight="1">
      <c r="B166" s="79" t="s">
        <v>473</v>
      </c>
      <c r="C166" s="79" t="s">
        <v>287</v>
      </c>
      <c r="D166" s="79" t="s">
        <v>288</v>
      </c>
      <c r="E166" s="79" t="s">
        <v>289</v>
      </c>
      <c r="F166" s="79" t="s">
        <v>167</v>
      </c>
      <c r="G166" s="79" t="s">
        <v>290</v>
      </c>
      <c r="H166" s="79" t="s">
        <v>13</v>
      </c>
      <c r="I166" s="79" t="s">
        <v>13</v>
      </c>
      <c r="J166" s="79" t="s">
        <v>14</v>
      </c>
      <c r="K166" s="79" t="s">
        <v>12</v>
      </c>
      <c r="L166" s="79" t="s">
        <v>461</v>
      </c>
      <c r="M166" s="79" t="s">
        <v>292</v>
      </c>
      <c r="N166" s="81">
        <v>4942000</v>
      </c>
      <c r="O166" s="93">
        <v>306</v>
      </c>
      <c r="P166" s="79" t="s">
        <v>713</v>
      </c>
      <c r="Q166" s="82">
        <v>4942000</v>
      </c>
      <c r="R166" s="81">
        <f t="shared" si="3"/>
        <v>0</v>
      </c>
    </row>
    <row r="167" spans="2:18" ht="23.25" customHeight="1">
      <c r="B167" s="79" t="s">
        <v>474</v>
      </c>
      <c r="C167" s="79" t="s">
        <v>287</v>
      </c>
      <c r="D167" s="79" t="s">
        <v>288</v>
      </c>
      <c r="E167" s="79" t="s">
        <v>289</v>
      </c>
      <c r="F167" s="79" t="s">
        <v>167</v>
      </c>
      <c r="G167" s="79" t="s">
        <v>290</v>
      </c>
      <c r="H167" s="79" t="s">
        <v>13</v>
      </c>
      <c r="I167" s="79" t="s">
        <v>13</v>
      </c>
      <c r="J167" s="79" t="s">
        <v>14</v>
      </c>
      <c r="K167" s="79" t="s">
        <v>12</v>
      </c>
      <c r="L167" s="79" t="s">
        <v>461</v>
      </c>
      <c r="M167" s="79" t="s">
        <v>292</v>
      </c>
      <c r="N167" s="81">
        <v>3418375</v>
      </c>
      <c r="O167" s="93">
        <v>307</v>
      </c>
      <c r="P167" s="79" t="s">
        <v>714</v>
      </c>
      <c r="Q167" s="82">
        <v>3418375</v>
      </c>
      <c r="R167" s="81">
        <f t="shared" si="3"/>
        <v>0</v>
      </c>
    </row>
    <row r="168" spans="2:18" ht="23.25" customHeight="1">
      <c r="B168" s="79" t="s">
        <v>475</v>
      </c>
      <c r="C168" s="79" t="s">
        <v>287</v>
      </c>
      <c r="D168" s="79" t="s">
        <v>288</v>
      </c>
      <c r="E168" s="79" t="s">
        <v>289</v>
      </c>
      <c r="F168" s="79" t="s">
        <v>167</v>
      </c>
      <c r="G168" s="79" t="s">
        <v>290</v>
      </c>
      <c r="H168" s="79" t="s">
        <v>13</v>
      </c>
      <c r="I168" s="79" t="s">
        <v>13</v>
      </c>
      <c r="J168" s="79" t="s">
        <v>14</v>
      </c>
      <c r="K168" s="79" t="s">
        <v>12</v>
      </c>
      <c r="L168" s="79" t="s">
        <v>302</v>
      </c>
      <c r="M168" s="79" t="s">
        <v>292</v>
      </c>
      <c r="N168" s="81">
        <v>160750</v>
      </c>
      <c r="O168" s="93">
        <v>310</v>
      </c>
      <c r="P168" s="79" t="s">
        <v>568</v>
      </c>
      <c r="Q168" s="82">
        <v>160750</v>
      </c>
      <c r="R168" s="81">
        <f t="shared" si="3"/>
        <v>0</v>
      </c>
    </row>
    <row r="169" spans="2:18" ht="23.25" customHeight="1">
      <c r="B169" s="79" t="s">
        <v>476</v>
      </c>
      <c r="C169" s="79" t="s">
        <v>287</v>
      </c>
      <c r="D169" s="79" t="s">
        <v>288</v>
      </c>
      <c r="E169" s="79" t="s">
        <v>289</v>
      </c>
      <c r="F169" s="79" t="s">
        <v>167</v>
      </c>
      <c r="G169" s="79" t="s">
        <v>290</v>
      </c>
      <c r="H169" s="79" t="s">
        <v>13</v>
      </c>
      <c r="I169" s="79" t="s">
        <v>13</v>
      </c>
      <c r="J169" s="79" t="s">
        <v>14</v>
      </c>
      <c r="K169" s="79" t="s">
        <v>12</v>
      </c>
      <c r="L169" s="79" t="s">
        <v>302</v>
      </c>
      <c r="M169" s="79" t="s">
        <v>292</v>
      </c>
      <c r="N169" s="81">
        <v>14500</v>
      </c>
      <c r="O169" s="93">
        <v>315</v>
      </c>
      <c r="P169" s="79" t="s">
        <v>870</v>
      </c>
      <c r="Q169" s="82">
        <v>14500</v>
      </c>
      <c r="R169" s="81">
        <f t="shared" si="3"/>
        <v>0</v>
      </c>
    </row>
    <row r="170" spans="2:18" ht="23.25" customHeight="1">
      <c r="B170" s="79" t="s">
        <v>477</v>
      </c>
      <c r="C170" s="79" t="s">
        <v>287</v>
      </c>
      <c r="D170" s="79" t="s">
        <v>288</v>
      </c>
      <c r="E170" s="79" t="s">
        <v>289</v>
      </c>
      <c r="F170" s="79" t="s">
        <v>167</v>
      </c>
      <c r="G170" s="79" t="s">
        <v>290</v>
      </c>
      <c r="H170" s="79" t="s">
        <v>13</v>
      </c>
      <c r="I170" s="79" t="s">
        <v>13</v>
      </c>
      <c r="J170" s="79" t="s">
        <v>14</v>
      </c>
      <c r="K170" s="79" t="s">
        <v>12</v>
      </c>
      <c r="L170" s="79" t="s">
        <v>302</v>
      </c>
      <c r="M170" s="79" t="s">
        <v>292</v>
      </c>
      <c r="N170" s="81">
        <v>26000</v>
      </c>
      <c r="O170" s="93">
        <v>316</v>
      </c>
      <c r="P170" s="79" t="s">
        <v>871</v>
      </c>
      <c r="Q170" s="82">
        <v>26000</v>
      </c>
      <c r="R170" s="81">
        <f t="shared" si="3"/>
        <v>0</v>
      </c>
    </row>
    <row r="171" spans="2:18" ht="23.25" customHeight="1">
      <c r="B171" s="79" t="s">
        <v>478</v>
      </c>
      <c r="C171" s="79" t="s">
        <v>287</v>
      </c>
      <c r="D171" s="79" t="s">
        <v>288</v>
      </c>
      <c r="E171" s="79" t="s">
        <v>289</v>
      </c>
      <c r="F171" s="79" t="s">
        <v>167</v>
      </c>
      <c r="G171" s="79" t="s">
        <v>290</v>
      </c>
      <c r="H171" s="79" t="s">
        <v>13</v>
      </c>
      <c r="I171" s="79" t="s">
        <v>13</v>
      </c>
      <c r="J171" s="79" t="s">
        <v>14</v>
      </c>
      <c r="K171" s="79" t="s">
        <v>12</v>
      </c>
      <c r="L171" s="79" t="s">
        <v>302</v>
      </c>
      <c r="M171" s="79" t="s">
        <v>292</v>
      </c>
      <c r="N171" s="81">
        <v>169500</v>
      </c>
      <c r="O171" s="93">
        <v>317</v>
      </c>
      <c r="P171" s="79" t="s">
        <v>872</v>
      </c>
      <c r="Q171" s="82">
        <v>169500</v>
      </c>
      <c r="R171" s="81">
        <f t="shared" si="3"/>
        <v>0</v>
      </c>
    </row>
    <row r="172" spans="2:18" ht="23.25" customHeight="1">
      <c r="B172" s="79" t="s">
        <v>479</v>
      </c>
      <c r="C172" s="79" t="s">
        <v>287</v>
      </c>
      <c r="D172" s="79" t="s">
        <v>288</v>
      </c>
      <c r="E172" s="79" t="s">
        <v>289</v>
      </c>
      <c r="F172" s="79" t="s">
        <v>167</v>
      </c>
      <c r="G172" s="79" t="s">
        <v>290</v>
      </c>
      <c r="H172" s="79" t="s">
        <v>13</v>
      </c>
      <c r="I172" s="79" t="s">
        <v>13</v>
      </c>
      <c r="J172" s="79" t="s">
        <v>14</v>
      </c>
      <c r="K172" s="79" t="s">
        <v>12</v>
      </c>
      <c r="L172" s="79" t="s">
        <v>302</v>
      </c>
      <c r="M172" s="79" t="s">
        <v>292</v>
      </c>
      <c r="N172" s="81">
        <v>192000</v>
      </c>
      <c r="O172" s="93">
        <v>318</v>
      </c>
      <c r="P172" s="79" t="s">
        <v>873</v>
      </c>
      <c r="Q172" s="82">
        <v>192000</v>
      </c>
      <c r="R172" s="81">
        <f t="shared" si="3"/>
        <v>0</v>
      </c>
    </row>
    <row r="173" spans="2:18" ht="23.25" customHeight="1">
      <c r="B173" s="79" t="s">
        <v>480</v>
      </c>
      <c r="C173" s="79" t="s">
        <v>287</v>
      </c>
      <c r="D173" s="79" t="s">
        <v>288</v>
      </c>
      <c r="E173" s="79" t="s">
        <v>289</v>
      </c>
      <c r="F173" s="79" t="s">
        <v>167</v>
      </c>
      <c r="G173" s="79" t="s">
        <v>290</v>
      </c>
      <c r="H173" s="79" t="s">
        <v>13</v>
      </c>
      <c r="I173" s="79" t="s">
        <v>13</v>
      </c>
      <c r="J173" s="79" t="s">
        <v>14</v>
      </c>
      <c r="K173" s="79" t="s">
        <v>12</v>
      </c>
      <c r="L173" s="79" t="s">
        <v>302</v>
      </c>
      <c r="M173" s="79" t="s">
        <v>292</v>
      </c>
      <c r="N173" s="81">
        <v>116625</v>
      </c>
      <c r="O173" s="93">
        <v>319</v>
      </c>
      <c r="P173" s="79" t="s">
        <v>874</v>
      </c>
      <c r="Q173" s="82">
        <v>116625</v>
      </c>
      <c r="R173" s="81">
        <f t="shared" si="3"/>
        <v>0</v>
      </c>
    </row>
    <row r="174" spans="2:18" ht="23.25" customHeight="1">
      <c r="B174" s="79" t="s">
        <v>481</v>
      </c>
      <c r="C174" s="79" t="s">
        <v>287</v>
      </c>
      <c r="D174" s="79" t="s">
        <v>288</v>
      </c>
      <c r="E174" s="79" t="s">
        <v>289</v>
      </c>
      <c r="F174" s="79" t="s">
        <v>167</v>
      </c>
      <c r="G174" s="79" t="s">
        <v>290</v>
      </c>
      <c r="H174" s="79" t="s">
        <v>13</v>
      </c>
      <c r="I174" s="79" t="s">
        <v>13</v>
      </c>
      <c r="J174" s="79" t="s">
        <v>14</v>
      </c>
      <c r="K174" s="79" t="s">
        <v>12</v>
      </c>
      <c r="L174" s="79" t="s">
        <v>302</v>
      </c>
      <c r="M174" s="79" t="s">
        <v>292</v>
      </c>
      <c r="N174" s="81">
        <v>25500</v>
      </c>
      <c r="O174" s="93">
        <v>320</v>
      </c>
      <c r="P174" s="79" t="s">
        <v>875</v>
      </c>
      <c r="Q174" s="82">
        <v>25500</v>
      </c>
      <c r="R174" s="81">
        <f t="shared" si="3"/>
        <v>0</v>
      </c>
    </row>
    <row r="175" spans="2:18" ht="23.25" customHeight="1">
      <c r="B175" s="79" t="s">
        <v>482</v>
      </c>
      <c r="C175" s="79" t="s">
        <v>287</v>
      </c>
      <c r="D175" s="79" t="s">
        <v>288</v>
      </c>
      <c r="E175" s="79" t="s">
        <v>289</v>
      </c>
      <c r="F175" s="79" t="s">
        <v>167</v>
      </c>
      <c r="G175" s="79" t="s">
        <v>290</v>
      </c>
      <c r="H175" s="79" t="s">
        <v>13</v>
      </c>
      <c r="I175" s="79" t="s">
        <v>13</v>
      </c>
      <c r="J175" s="79" t="s">
        <v>14</v>
      </c>
      <c r="K175" s="79" t="s">
        <v>12</v>
      </c>
      <c r="L175" s="79" t="s">
        <v>302</v>
      </c>
      <c r="M175" s="79" t="s">
        <v>292</v>
      </c>
      <c r="N175" s="81">
        <v>15375</v>
      </c>
      <c r="O175" s="93">
        <v>325</v>
      </c>
      <c r="P175" s="79" t="s">
        <v>876</v>
      </c>
      <c r="Q175" s="82">
        <v>15375</v>
      </c>
      <c r="R175" s="81">
        <f t="shared" si="3"/>
        <v>0</v>
      </c>
    </row>
    <row r="176" spans="2:18" s="30" customFormat="1" ht="23.25" customHeight="1">
      <c r="B176" s="176" t="s">
        <v>483</v>
      </c>
      <c r="C176" s="176" t="s">
        <v>287</v>
      </c>
      <c r="D176" s="176" t="s">
        <v>288</v>
      </c>
      <c r="E176" s="176" t="s">
        <v>289</v>
      </c>
      <c r="F176" s="176" t="s">
        <v>167</v>
      </c>
      <c r="G176" s="176" t="s">
        <v>290</v>
      </c>
      <c r="H176" s="176" t="s">
        <v>13</v>
      </c>
      <c r="I176" s="176" t="s">
        <v>13</v>
      </c>
      <c r="J176" s="176" t="s">
        <v>14</v>
      </c>
      <c r="K176" s="176" t="s">
        <v>12</v>
      </c>
      <c r="L176" s="176" t="s">
        <v>302</v>
      </c>
      <c r="M176" s="176" t="s">
        <v>292</v>
      </c>
      <c r="N176" s="177">
        <v>52000</v>
      </c>
      <c r="O176" s="176"/>
      <c r="P176" s="176"/>
      <c r="Q176" s="178"/>
      <c r="R176" s="176"/>
    </row>
    <row r="177" spans="2:18" ht="23.25" customHeight="1">
      <c r="B177" s="79" t="s">
        <v>484</v>
      </c>
      <c r="C177" s="79" t="s">
        <v>287</v>
      </c>
      <c r="D177" s="79" t="s">
        <v>288</v>
      </c>
      <c r="E177" s="79" t="s">
        <v>289</v>
      </c>
      <c r="F177" s="79" t="s">
        <v>167</v>
      </c>
      <c r="G177" s="79" t="s">
        <v>290</v>
      </c>
      <c r="H177" s="79" t="s">
        <v>13</v>
      </c>
      <c r="I177" s="79" t="s">
        <v>13</v>
      </c>
      <c r="J177" s="79" t="s">
        <v>14</v>
      </c>
      <c r="K177" s="79" t="s">
        <v>12</v>
      </c>
      <c r="L177" s="79" t="s">
        <v>302</v>
      </c>
      <c r="M177" s="79" t="s">
        <v>292</v>
      </c>
      <c r="N177" s="81">
        <v>52000</v>
      </c>
      <c r="O177" s="93">
        <v>326</v>
      </c>
      <c r="P177" s="79" t="s">
        <v>877</v>
      </c>
      <c r="Q177" s="82">
        <v>52000</v>
      </c>
      <c r="R177" s="81">
        <f>N176-Q177</f>
        <v>0</v>
      </c>
    </row>
    <row r="178" spans="2:18" ht="23.25" customHeight="1">
      <c r="B178" s="79" t="s">
        <v>485</v>
      </c>
      <c r="C178" s="79" t="s">
        <v>287</v>
      </c>
      <c r="D178" s="79" t="s">
        <v>288</v>
      </c>
      <c r="E178" s="79" t="s">
        <v>289</v>
      </c>
      <c r="F178" s="79" t="s">
        <v>167</v>
      </c>
      <c r="G178" s="79" t="s">
        <v>290</v>
      </c>
      <c r="H178" s="79" t="s">
        <v>13</v>
      </c>
      <c r="I178" s="79" t="s">
        <v>13</v>
      </c>
      <c r="J178" s="79" t="s">
        <v>14</v>
      </c>
      <c r="K178" s="79" t="s">
        <v>12</v>
      </c>
      <c r="L178" s="79" t="s">
        <v>302</v>
      </c>
      <c r="M178" s="79" t="s">
        <v>292</v>
      </c>
      <c r="N178" s="81">
        <v>232000</v>
      </c>
      <c r="O178" s="93">
        <v>329</v>
      </c>
      <c r="P178" s="79" t="s">
        <v>878</v>
      </c>
      <c r="Q178" s="82">
        <v>232000</v>
      </c>
      <c r="R178" s="81">
        <f t="shared" ref="R178:R197" si="4">N178-Q178</f>
        <v>0</v>
      </c>
    </row>
    <row r="179" spans="2:18" ht="23.25" customHeight="1">
      <c r="B179" s="79" t="s">
        <v>486</v>
      </c>
      <c r="C179" s="79" t="s">
        <v>287</v>
      </c>
      <c r="D179" s="79" t="s">
        <v>288</v>
      </c>
      <c r="E179" s="79" t="s">
        <v>289</v>
      </c>
      <c r="F179" s="79" t="s">
        <v>167</v>
      </c>
      <c r="G179" s="79" t="s">
        <v>290</v>
      </c>
      <c r="H179" s="79" t="s">
        <v>13</v>
      </c>
      <c r="I179" s="79" t="s">
        <v>13</v>
      </c>
      <c r="J179" s="79" t="s">
        <v>14</v>
      </c>
      <c r="K179" s="79" t="s">
        <v>12</v>
      </c>
      <c r="L179" s="79" t="s">
        <v>302</v>
      </c>
      <c r="M179" s="79" t="s">
        <v>292</v>
      </c>
      <c r="N179" s="81">
        <v>391000</v>
      </c>
      <c r="O179" s="93">
        <v>330</v>
      </c>
      <c r="P179" s="79" t="s">
        <v>879</v>
      </c>
      <c r="Q179" s="82">
        <v>391000</v>
      </c>
      <c r="R179" s="81">
        <f t="shared" si="4"/>
        <v>0</v>
      </c>
    </row>
    <row r="180" spans="2:18" ht="23.25" customHeight="1">
      <c r="B180" s="79" t="s">
        <v>487</v>
      </c>
      <c r="C180" s="79" t="s">
        <v>287</v>
      </c>
      <c r="D180" s="79" t="s">
        <v>288</v>
      </c>
      <c r="E180" s="79" t="s">
        <v>289</v>
      </c>
      <c r="F180" s="79" t="s">
        <v>167</v>
      </c>
      <c r="G180" s="79" t="s">
        <v>290</v>
      </c>
      <c r="H180" s="79" t="s">
        <v>13</v>
      </c>
      <c r="I180" s="79" t="s">
        <v>13</v>
      </c>
      <c r="J180" s="79" t="s">
        <v>14</v>
      </c>
      <c r="K180" s="79" t="s">
        <v>12</v>
      </c>
      <c r="L180" s="79" t="s">
        <v>302</v>
      </c>
      <c r="M180" s="79" t="s">
        <v>292</v>
      </c>
      <c r="N180" s="81">
        <v>527000</v>
      </c>
      <c r="O180" s="93">
        <v>331</v>
      </c>
      <c r="P180" s="79" t="s">
        <v>880</v>
      </c>
      <c r="Q180" s="82">
        <v>527000</v>
      </c>
      <c r="R180" s="81">
        <f t="shared" si="4"/>
        <v>0</v>
      </c>
    </row>
    <row r="181" spans="2:18" ht="23.25" customHeight="1">
      <c r="B181" s="79" t="s">
        <v>488</v>
      </c>
      <c r="C181" s="79" t="s">
        <v>287</v>
      </c>
      <c r="D181" s="79" t="s">
        <v>288</v>
      </c>
      <c r="E181" s="79" t="s">
        <v>289</v>
      </c>
      <c r="F181" s="79" t="s">
        <v>167</v>
      </c>
      <c r="G181" s="79" t="s">
        <v>290</v>
      </c>
      <c r="H181" s="79" t="s">
        <v>13</v>
      </c>
      <c r="I181" s="79" t="s">
        <v>13</v>
      </c>
      <c r="J181" s="79" t="s">
        <v>14</v>
      </c>
      <c r="K181" s="79" t="s">
        <v>12</v>
      </c>
      <c r="L181" s="79" t="s">
        <v>302</v>
      </c>
      <c r="M181" s="79" t="s">
        <v>292</v>
      </c>
      <c r="N181" s="81">
        <v>510000</v>
      </c>
      <c r="O181" s="93">
        <v>332</v>
      </c>
      <c r="P181" s="79" t="s">
        <v>881</v>
      </c>
      <c r="Q181" s="82">
        <v>510000</v>
      </c>
      <c r="R181" s="81">
        <f t="shared" si="4"/>
        <v>0</v>
      </c>
    </row>
    <row r="182" spans="2:18" ht="23.25" customHeight="1">
      <c r="B182" s="79" t="s">
        <v>489</v>
      </c>
      <c r="C182" s="79" t="s">
        <v>287</v>
      </c>
      <c r="D182" s="79" t="s">
        <v>288</v>
      </c>
      <c r="E182" s="79" t="s">
        <v>289</v>
      </c>
      <c r="F182" s="79" t="s">
        <v>167</v>
      </c>
      <c r="G182" s="79" t="s">
        <v>290</v>
      </c>
      <c r="H182" s="79" t="s">
        <v>13</v>
      </c>
      <c r="I182" s="79" t="s">
        <v>13</v>
      </c>
      <c r="J182" s="79" t="s">
        <v>14</v>
      </c>
      <c r="K182" s="79" t="s">
        <v>12</v>
      </c>
      <c r="L182" s="79" t="s">
        <v>302</v>
      </c>
      <c r="M182" s="79" t="s">
        <v>292</v>
      </c>
      <c r="N182" s="81">
        <v>527000</v>
      </c>
      <c r="O182" s="93">
        <v>333</v>
      </c>
      <c r="P182" s="79" t="s">
        <v>882</v>
      </c>
      <c r="Q182" s="82">
        <v>527000</v>
      </c>
      <c r="R182" s="81">
        <f t="shared" si="4"/>
        <v>0</v>
      </c>
    </row>
    <row r="183" spans="2:18" ht="23.25" customHeight="1">
      <c r="B183" s="79" t="s">
        <v>490</v>
      </c>
      <c r="C183" s="79" t="s">
        <v>287</v>
      </c>
      <c r="D183" s="79" t="s">
        <v>288</v>
      </c>
      <c r="E183" s="79" t="s">
        <v>289</v>
      </c>
      <c r="F183" s="79" t="s">
        <v>167</v>
      </c>
      <c r="G183" s="79" t="s">
        <v>290</v>
      </c>
      <c r="H183" s="79" t="s">
        <v>13</v>
      </c>
      <c r="I183" s="79" t="s">
        <v>13</v>
      </c>
      <c r="J183" s="79" t="s">
        <v>14</v>
      </c>
      <c r="K183" s="79" t="s">
        <v>12</v>
      </c>
      <c r="L183" s="79" t="s">
        <v>302</v>
      </c>
      <c r="M183" s="79" t="s">
        <v>292</v>
      </c>
      <c r="N183" s="81">
        <v>510000</v>
      </c>
      <c r="O183" s="93">
        <v>334</v>
      </c>
      <c r="P183" s="79" t="s">
        <v>883</v>
      </c>
      <c r="Q183" s="82">
        <v>510000</v>
      </c>
      <c r="R183" s="81">
        <f t="shared" si="4"/>
        <v>0</v>
      </c>
    </row>
    <row r="184" spans="2:18" ht="23.25" customHeight="1">
      <c r="B184" s="79" t="s">
        <v>491</v>
      </c>
      <c r="C184" s="79" t="s">
        <v>287</v>
      </c>
      <c r="D184" s="79" t="s">
        <v>288</v>
      </c>
      <c r="E184" s="79" t="s">
        <v>289</v>
      </c>
      <c r="F184" s="79" t="s">
        <v>167</v>
      </c>
      <c r="G184" s="79" t="s">
        <v>290</v>
      </c>
      <c r="H184" s="79" t="s">
        <v>13</v>
      </c>
      <c r="I184" s="79" t="s">
        <v>13</v>
      </c>
      <c r="J184" s="79" t="s">
        <v>14</v>
      </c>
      <c r="K184" s="79" t="s">
        <v>12</v>
      </c>
      <c r="L184" s="79" t="s">
        <v>302</v>
      </c>
      <c r="M184" s="79" t="s">
        <v>292</v>
      </c>
      <c r="N184" s="81">
        <v>70000</v>
      </c>
      <c r="O184" s="93">
        <v>335</v>
      </c>
      <c r="P184" s="79" t="s">
        <v>884</v>
      </c>
      <c r="Q184" s="82">
        <v>70000</v>
      </c>
      <c r="R184" s="81">
        <f t="shared" si="4"/>
        <v>0</v>
      </c>
    </row>
    <row r="185" spans="2:18" ht="23.25" customHeight="1">
      <c r="B185" s="79" t="s">
        <v>492</v>
      </c>
      <c r="C185" s="79" t="s">
        <v>287</v>
      </c>
      <c r="D185" s="79" t="s">
        <v>288</v>
      </c>
      <c r="E185" s="79" t="s">
        <v>289</v>
      </c>
      <c r="F185" s="79" t="s">
        <v>167</v>
      </c>
      <c r="G185" s="79" t="s">
        <v>290</v>
      </c>
      <c r="H185" s="79" t="s">
        <v>13</v>
      </c>
      <c r="I185" s="79" t="s">
        <v>13</v>
      </c>
      <c r="J185" s="79" t="s">
        <v>14</v>
      </c>
      <c r="K185" s="79" t="s">
        <v>12</v>
      </c>
      <c r="L185" s="79" t="s">
        <v>302</v>
      </c>
      <c r="M185" s="79" t="s">
        <v>292</v>
      </c>
      <c r="N185" s="81">
        <v>173000</v>
      </c>
      <c r="O185" s="93">
        <v>336</v>
      </c>
      <c r="P185" s="79" t="s">
        <v>885</v>
      </c>
      <c r="Q185" s="82">
        <v>173000</v>
      </c>
      <c r="R185" s="81">
        <f t="shared" si="4"/>
        <v>0</v>
      </c>
    </row>
    <row r="186" spans="2:18" ht="23.25" customHeight="1">
      <c r="B186" s="79" t="s">
        <v>493</v>
      </c>
      <c r="C186" s="79" t="s">
        <v>287</v>
      </c>
      <c r="D186" s="79" t="s">
        <v>288</v>
      </c>
      <c r="E186" s="79" t="s">
        <v>289</v>
      </c>
      <c r="F186" s="79" t="s">
        <v>167</v>
      </c>
      <c r="G186" s="79" t="s">
        <v>290</v>
      </c>
      <c r="H186" s="79" t="s">
        <v>13</v>
      </c>
      <c r="I186" s="79" t="s">
        <v>13</v>
      </c>
      <c r="J186" s="79" t="s">
        <v>14</v>
      </c>
      <c r="K186" s="79" t="s">
        <v>12</v>
      </c>
      <c r="L186" s="79" t="s">
        <v>302</v>
      </c>
      <c r="M186" s="79" t="s">
        <v>292</v>
      </c>
      <c r="N186" s="81">
        <v>280000</v>
      </c>
      <c r="O186" s="93">
        <v>337</v>
      </c>
      <c r="P186" s="79" t="s">
        <v>886</v>
      </c>
      <c r="Q186" s="82">
        <v>280000</v>
      </c>
      <c r="R186" s="81">
        <f t="shared" si="4"/>
        <v>0</v>
      </c>
    </row>
    <row r="187" spans="2:18" ht="23.25" customHeight="1">
      <c r="B187" s="79" t="s">
        <v>494</v>
      </c>
      <c r="C187" s="79" t="s">
        <v>287</v>
      </c>
      <c r="D187" s="79" t="s">
        <v>288</v>
      </c>
      <c r="E187" s="79" t="s">
        <v>289</v>
      </c>
      <c r="F187" s="79" t="s">
        <v>167</v>
      </c>
      <c r="G187" s="79" t="s">
        <v>290</v>
      </c>
      <c r="H187" s="79" t="s">
        <v>13</v>
      </c>
      <c r="I187" s="79" t="s">
        <v>13</v>
      </c>
      <c r="J187" s="79" t="s">
        <v>14</v>
      </c>
      <c r="K187" s="79" t="s">
        <v>12</v>
      </c>
      <c r="L187" s="79" t="s">
        <v>302</v>
      </c>
      <c r="M187" s="79" t="s">
        <v>292</v>
      </c>
      <c r="N187" s="81">
        <v>310000</v>
      </c>
      <c r="O187" s="93">
        <v>338</v>
      </c>
      <c r="P187" s="79" t="s">
        <v>887</v>
      </c>
      <c r="Q187" s="82">
        <v>310000</v>
      </c>
      <c r="R187" s="81">
        <f t="shared" si="4"/>
        <v>0</v>
      </c>
    </row>
    <row r="188" spans="2:18" ht="23.25" customHeight="1">
      <c r="B188" s="79" t="s">
        <v>495</v>
      </c>
      <c r="C188" s="79" t="s">
        <v>287</v>
      </c>
      <c r="D188" s="79" t="s">
        <v>288</v>
      </c>
      <c r="E188" s="79" t="s">
        <v>289</v>
      </c>
      <c r="F188" s="79" t="s">
        <v>167</v>
      </c>
      <c r="G188" s="79" t="s">
        <v>290</v>
      </c>
      <c r="H188" s="79" t="s">
        <v>13</v>
      </c>
      <c r="I188" s="79" t="s">
        <v>13</v>
      </c>
      <c r="J188" s="79" t="s">
        <v>14</v>
      </c>
      <c r="K188" s="79" t="s">
        <v>12</v>
      </c>
      <c r="L188" s="79" t="s">
        <v>302</v>
      </c>
      <c r="M188" s="79" t="s">
        <v>292</v>
      </c>
      <c r="N188" s="81">
        <v>280000</v>
      </c>
      <c r="O188" s="93">
        <v>339</v>
      </c>
      <c r="P188" s="79" t="s">
        <v>888</v>
      </c>
      <c r="Q188" s="82">
        <v>280000</v>
      </c>
      <c r="R188" s="81">
        <f t="shared" si="4"/>
        <v>0</v>
      </c>
    </row>
    <row r="189" spans="2:18" ht="23.25" customHeight="1">
      <c r="B189" s="79" t="s">
        <v>496</v>
      </c>
      <c r="C189" s="79" t="s">
        <v>287</v>
      </c>
      <c r="D189" s="79" t="s">
        <v>288</v>
      </c>
      <c r="E189" s="79" t="s">
        <v>289</v>
      </c>
      <c r="F189" s="79" t="s">
        <v>167</v>
      </c>
      <c r="G189" s="79" t="s">
        <v>290</v>
      </c>
      <c r="H189" s="79" t="s">
        <v>13</v>
      </c>
      <c r="I189" s="79" t="s">
        <v>13</v>
      </c>
      <c r="J189" s="79" t="s">
        <v>14</v>
      </c>
      <c r="K189" s="79" t="s">
        <v>12</v>
      </c>
      <c r="L189" s="79" t="s">
        <v>302</v>
      </c>
      <c r="M189" s="79" t="s">
        <v>292</v>
      </c>
      <c r="N189" s="81">
        <v>290000</v>
      </c>
      <c r="O189" s="93">
        <v>340</v>
      </c>
      <c r="P189" s="79" t="s">
        <v>889</v>
      </c>
      <c r="Q189" s="82">
        <v>290000</v>
      </c>
      <c r="R189" s="81">
        <f t="shared" si="4"/>
        <v>0</v>
      </c>
    </row>
    <row r="190" spans="2:18" ht="23.25" customHeight="1">
      <c r="B190" s="79" t="s">
        <v>497</v>
      </c>
      <c r="C190" s="79" t="s">
        <v>287</v>
      </c>
      <c r="D190" s="79" t="s">
        <v>288</v>
      </c>
      <c r="E190" s="79" t="s">
        <v>289</v>
      </c>
      <c r="F190" s="79" t="s">
        <v>167</v>
      </c>
      <c r="G190" s="79" t="s">
        <v>290</v>
      </c>
      <c r="H190" s="79" t="s">
        <v>13</v>
      </c>
      <c r="I190" s="79" t="s">
        <v>13</v>
      </c>
      <c r="J190" s="79" t="s">
        <v>14</v>
      </c>
      <c r="K190" s="79" t="s">
        <v>12</v>
      </c>
      <c r="L190" s="79" t="s">
        <v>302</v>
      </c>
      <c r="M190" s="79" t="s">
        <v>292</v>
      </c>
      <c r="N190" s="81">
        <v>270000</v>
      </c>
      <c r="O190" s="93">
        <v>341</v>
      </c>
      <c r="P190" s="79" t="s">
        <v>890</v>
      </c>
      <c r="Q190" s="82">
        <v>270000</v>
      </c>
      <c r="R190" s="81">
        <f t="shared" si="4"/>
        <v>0</v>
      </c>
    </row>
    <row r="191" spans="2:18" ht="23.25" customHeight="1">
      <c r="B191" s="79" t="s">
        <v>498</v>
      </c>
      <c r="C191" s="79" t="s">
        <v>287</v>
      </c>
      <c r="D191" s="79" t="s">
        <v>288</v>
      </c>
      <c r="E191" s="79" t="s">
        <v>289</v>
      </c>
      <c r="F191" s="79" t="s">
        <v>167</v>
      </c>
      <c r="G191" s="79" t="s">
        <v>290</v>
      </c>
      <c r="H191" s="79" t="s">
        <v>13</v>
      </c>
      <c r="I191" s="79" t="s">
        <v>13</v>
      </c>
      <c r="J191" s="79" t="s">
        <v>14</v>
      </c>
      <c r="K191" s="79" t="s">
        <v>12</v>
      </c>
      <c r="L191" s="79" t="s">
        <v>302</v>
      </c>
      <c r="M191" s="79" t="s">
        <v>292</v>
      </c>
      <c r="N191" s="81">
        <v>72000</v>
      </c>
      <c r="O191" s="93">
        <v>342</v>
      </c>
      <c r="P191" s="79" t="s">
        <v>891</v>
      </c>
      <c r="Q191" s="82">
        <v>72000</v>
      </c>
      <c r="R191" s="81">
        <f t="shared" si="4"/>
        <v>0</v>
      </c>
    </row>
    <row r="192" spans="2:18" ht="23.25" customHeight="1">
      <c r="B192" s="79" t="s">
        <v>499</v>
      </c>
      <c r="C192" s="79" t="s">
        <v>287</v>
      </c>
      <c r="D192" s="79" t="s">
        <v>288</v>
      </c>
      <c r="E192" s="79" t="s">
        <v>289</v>
      </c>
      <c r="F192" s="79" t="s">
        <v>167</v>
      </c>
      <c r="G192" s="79" t="s">
        <v>290</v>
      </c>
      <c r="H192" s="79" t="s">
        <v>13</v>
      </c>
      <c r="I192" s="79" t="s">
        <v>13</v>
      </c>
      <c r="J192" s="79" t="s">
        <v>14</v>
      </c>
      <c r="K192" s="79" t="s">
        <v>12</v>
      </c>
      <c r="L192" s="79" t="s">
        <v>302</v>
      </c>
      <c r="M192" s="79" t="s">
        <v>292</v>
      </c>
      <c r="N192" s="81">
        <v>59000</v>
      </c>
      <c r="O192" s="93">
        <v>343</v>
      </c>
      <c r="P192" s="79" t="s">
        <v>892</v>
      </c>
      <c r="Q192" s="82">
        <v>59000</v>
      </c>
      <c r="R192" s="81">
        <f t="shared" si="4"/>
        <v>0</v>
      </c>
    </row>
    <row r="193" spans="2:18" ht="23.25" customHeight="1">
      <c r="B193" s="79" t="s">
        <v>500</v>
      </c>
      <c r="C193" s="79" t="s">
        <v>287</v>
      </c>
      <c r="D193" s="79" t="s">
        <v>288</v>
      </c>
      <c r="E193" s="79" t="s">
        <v>289</v>
      </c>
      <c r="F193" s="79" t="s">
        <v>167</v>
      </c>
      <c r="G193" s="79" t="s">
        <v>290</v>
      </c>
      <c r="H193" s="79" t="s">
        <v>13</v>
      </c>
      <c r="I193" s="79" t="s">
        <v>13</v>
      </c>
      <c r="J193" s="79" t="s">
        <v>14</v>
      </c>
      <c r="K193" s="79" t="s">
        <v>12</v>
      </c>
      <c r="L193" s="79" t="s">
        <v>302</v>
      </c>
      <c r="M193" s="79" t="s">
        <v>292</v>
      </c>
      <c r="N193" s="81">
        <v>149000</v>
      </c>
      <c r="O193" s="93">
        <v>344</v>
      </c>
      <c r="P193" s="79" t="s">
        <v>893</v>
      </c>
      <c r="Q193" s="82">
        <v>149000</v>
      </c>
      <c r="R193" s="81">
        <f t="shared" si="4"/>
        <v>0</v>
      </c>
    </row>
    <row r="194" spans="2:18" ht="23.25" customHeight="1">
      <c r="B194" s="79" t="s">
        <v>501</v>
      </c>
      <c r="C194" s="79" t="s">
        <v>287</v>
      </c>
      <c r="D194" s="79" t="s">
        <v>288</v>
      </c>
      <c r="E194" s="79" t="s">
        <v>289</v>
      </c>
      <c r="F194" s="79" t="s">
        <v>167</v>
      </c>
      <c r="G194" s="79" t="s">
        <v>290</v>
      </c>
      <c r="H194" s="79" t="s">
        <v>13</v>
      </c>
      <c r="I194" s="79" t="s">
        <v>13</v>
      </c>
      <c r="J194" s="79" t="s">
        <v>14</v>
      </c>
      <c r="K194" s="79" t="s">
        <v>12</v>
      </c>
      <c r="L194" s="79" t="s">
        <v>302</v>
      </c>
      <c r="M194" s="79" t="s">
        <v>292</v>
      </c>
      <c r="N194" s="81">
        <v>233000</v>
      </c>
      <c r="O194" s="93">
        <v>345</v>
      </c>
      <c r="P194" s="79" t="s">
        <v>894</v>
      </c>
      <c r="Q194" s="82">
        <v>233000</v>
      </c>
      <c r="R194" s="81">
        <f t="shared" si="4"/>
        <v>0</v>
      </c>
    </row>
    <row r="195" spans="2:18" ht="23.25" customHeight="1">
      <c r="B195" s="79" t="s">
        <v>502</v>
      </c>
      <c r="C195" s="79" t="s">
        <v>287</v>
      </c>
      <c r="D195" s="79" t="s">
        <v>288</v>
      </c>
      <c r="E195" s="79" t="s">
        <v>289</v>
      </c>
      <c r="F195" s="79" t="s">
        <v>167</v>
      </c>
      <c r="G195" s="79" t="s">
        <v>290</v>
      </c>
      <c r="H195" s="79" t="s">
        <v>13</v>
      </c>
      <c r="I195" s="79" t="s">
        <v>13</v>
      </c>
      <c r="J195" s="79" t="s">
        <v>14</v>
      </c>
      <c r="K195" s="79" t="s">
        <v>12</v>
      </c>
      <c r="L195" s="79" t="s">
        <v>302</v>
      </c>
      <c r="M195" s="79" t="s">
        <v>292</v>
      </c>
      <c r="N195" s="81">
        <v>206000</v>
      </c>
      <c r="O195" s="93">
        <v>346</v>
      </c>
      <c r="P195" s="79" t="s">
        <v>895</v>
      </c>
      <c r="Q195" s="82">
        <v>206000</v>
      </c>
      <c r="R195" s="81">
        <f t="shared" si="4"/>
        <v>0</v>
      </c>
    </row>
    <row r="196" spans="2:18" ht="23.25" customHeight="1">
      <c r="B196" s="79" t="s">
        <v>503</v>
      </c>
      <c r="C196" s="79" t="s">
        <v>287</v>
      </c>
      <c r="D196" s="79" t="s">
        <v>288</v>
      </c>
      <c r="E196" s="79" t="s">
        <v>289</v>
      </c>
      <c r="F196" s="79" t="s">
        <v>167</v>
      </c>
      <c r="G196" s="79" t="s">
        <v>290</v>
      </c>
      <c r="H196" s="79" t="s">
        <v>13</v>
      </c>
      <c r="I196" s="79" t="s">
        <v>13</v>
      </c>
      <c r="J196" s="79" t="s">
        <v>14</v>
      </c>
      <c r="K196" s="79" t="s">
        <v>12</v>
      </c>
      <c r="L196" s="79" t="s">
        <v>302</v>
      </c>
      <c r="M196" s="79" t="s">
        <v>292</v>
      </c>
      <c r="N196" s="81">
        <v>227000</v>
      </c>
      <c r="O196" s="93">
        <v>347</v>
      </c>
      <c r="P196" s="79" t="s">
        <v>896</v>
      </c>
      <c r="Q196" s="82">
        <v>227000</v>
      </c>
      <c r="R196" s="81">
        <f t="shared" si="4"/>
        <v>0</v>
      </c>
    </row>
    <row r="197" spans="2:18" ht="23.25" customHeight="1">
      <c r="B197" s="79" t="s">
        <v>504</v>
      </c>
      <c r="C197" s="79" t="s">
        <v>287</v>
      </c>
      <c r="D197" s="79" t="s">
        <v>288</v>
      </c>
      <c r="E197" s="79" t="s">
        <v>289</v>
      </c>
      <c r="F197" s="79" t="s">
        <v>167</v>
      </c>
      <c r="G197" s="79" t="s">
        <v>290</v>
      </c>
      <c r="H197" s="79" t="s">
        <v>13</v>
      </c>
      <c r="I197" s="79" t="s">
        <v>13</v>
      </c>
      <c r="J197" s="79" t="s">
        <v>14</v>
      </c>
      <c r="K197" s="79" t="s">
        <v>12</v>
      </c>
      <c r="L197" s="79" t="s">
        <v>302</v>
      </c>
      <c r="M197" s="79" t="s">
        <v>292</v>
      </c>
      <c r="N197" s="81">
        <v>190000</v>
      </c>
      <c r="O197" s="93">
        <v>348</v>
      </c>
      <c r="P197" s="79" t="s">
        <v>897</v>
      </c>
      <c r="Q197" s="82">
        <v>190000</v>
      </c>
      <c r="R197" s="81">
        <f t="shared" si="4"/>
        <v>0</v>
      </c>
    </row>
    <row r="198" spans="2:18" s="30" customFormat="1" ht="23.25" customHeight="1">
      <c r="B198" s="176" t="s">
        <v>505</v>
      </c>
      <c r="C198" s="176" t="s">
        <v>287</v>
      </c>
      <c r="D198" s="176" t="s">
        <v>288</v>
      </c>
      <c r="E198" s="176" t="s">
        <v>289</v>
      </c>
      <c r="F198" s="176" t="s">
        <v>167</v>
      </c>
      <c r="G198" s="176" t="s">
        <v>290</v>
      </c>
      <c r="H198" s="176" t="s">
        <v>13</v>
      </c>
      <c r="I198" s="176" t="s">
        <v>13</v>
      </c>
      <c r="J198" s="176" t="s">
        <v>14</v>
      </c>
      <c r="K198" s="176" t="s">
        <v>12</v>
      </c>
      <c r="L198" s="176" t="s">
        <v>302</v>
      </c>
      <c r="M198" s="176" t="s">
        <v>292</v>
      </c>
      <c r="N198" s="177">
        <v>190000</v>
      </c>
      <c r="O198" s="179"/>
      <c r="P198" s="179"/>
      <c r="Q198" s="180"/>
      <c r="R198" s="177">
        <f t="shared" ref="R198:R220" si="5">N198-Q198</f>
        <v>190000</v>
      </c>
    </row>
    <row r="199" spans="2:18" ht="23.25" customHeight="1">
      <c r="B199" s="79" t="s">
        <v>506</v>
      </c>
      <c r="C199" s="79" t="s">
        <v>287</v>
      </c>
      <c r="D199" s="79" t="s">
        <v>288</v>
      </c>
      <c r="E199" s="79" t="s">
        <v>289</v>
      </c>
      <c r="F199" s="79" t="s">
        <v>167</v>
      </c>
      <c r="G199" s="79" t="s">
        <v>290</v>
      </c>
      <c r="H199" s="79" t="s">
        <v>13</v>
      </c>
      <c r="I199" s="79" t="s">
        <v>13</v>
      </c>
      <c r="J199" s="79" t="s">
        <v>14</v>
      </c>
      <c r="K199" s="79" t="s">
        <v>12</v>
      </c>
      <c r="L199" s="79" t="s">
        <v>302</v>
      </c>
      <c r="M199" s="79" t="s">
        <v>292</v>
      </c>
      <c r="N199" s="81">
        <v>68000</v>
      </c>
      <c r="O199" s="93">
        <v>349</v>
      </c>
      <c r="P199" s="79" t="s">
        <v>898</v>
      </c>
      <c r="Q199" s="82">
        <v>68000</v>
      </c>
      <c r="R199" s="81">
        <f t="shared" si="5"/>
        <v>0</v>
      </c>
    </row>
    <row r="200" spans="2:18" ht="23.25" customHeight="1">
      <c r="B200" s="79" t="s">
        <v>507</v>
      </c>
      <c r="C200" s="79" t="s">
        <v>287</v>
      </c>
      <c r="D200" s="79" t="s">
        <v>288</v>
      </c>
      <c r="E200" s="79" t="s">
        <v>289</v>
      </c>
      <c r="F200" s="79" t="s">
        <v>167</v>
      </c>
      <c r="G200" s="79" t="s">
        <v>290</v>
      </c>
      <c r="H200" s="79" t="s">
        <v>13</v>
      </c>
      <c r="I200" s="79" t="s">
        <v>13</v>
      </c>
      <c r="J200" s="79" t="s">
        <v>14</v>
      </c>
      <c r="K200" s="79" t="s">
        <v>12</v>
      </c>
      <c r="L200" s="79" t="s">
        <v>302</v>
      </c>
      <c r="M200" s="79" t="s">
        <v>292</v>
      </c>
      <c r="N200" s="81">
        <v>60000</v>
      </c>
      <c r="O200" s="93">
        <v>350</v>
      </c>
      <c r="P200" s="79" t="s">
        <v>899</v>
      </c>
      <c r="Q200" s="82">
        <v>60000</v>
      </c>
      <c r="R200" s="81">
        <f t="shared" si="5"/>
        <v>0</v>
      </c>
    </row>
    <row r="201" spans="2:18" ht="23.25" customHeight="1">
      <c r="B201" s="79" t="s">
        <v>508</v>
      </c>
      <c r="C201" s="79" t="s">
        <v>287</v>
      </c>
      <c r="D201" s="79" t="s">
        <v>288</v>
      </c>
      <c r="E201" s="79" t="s">
        <v>289</v>
      </c>
      <c r="F201" s="79" t="s">
        <v>167</v>
      </c>
      <c r="G201" s="79" t="s">
        <v>290</v>
      </c>
      <c r="H201" s="79" t="s">
        <v>13</v>
      </c>
      <c r="I201" s="79" t="s">
        <v>13</v>
      </c>
      <c r="J201" s="79" t="s">
        <v>14</v>
      </c>
      <c r="K201" s="79" t="s">
        <v>12</v>
      </c>
      <c r="L201" s="79" t="s">
        <v>302</v>
      </c>
      <c r="M201" s="79" t="s">
        <v>292</v>
      </c>
      <c r="N201" s="81">
        <v>128000</v>
      </c>
      <c r="O201" s="93">
        <v>351</v>
      </c>
      <c r="P201" s="79" t="s">
        <v>900</v>
      </c>
      <c r="Q201" s="82">
        <v>128000</v>
      </c>
      <c r="R201" s="81">
        <f t="shared" si="5"/>
        <v>0</v>
      </c>
    </row>
    <row r="202" spans="2:18" ht="23.25" customHeight="1">
      <c r="B202" s="79" t="s">
        <v>509</v>
      </c>
      <c r="C202" s="79" t="s">
        <v>287</v>
      </c>
      <c r="D202" s="79" t="s">
        <v>288</v>
      </c>
      <c r="E202" s="79" t="s">
        <v>289</v>
      </c>
      <c r="F202" s="79" t="s">
        <v>167</v>
      </c>
      <c r="G202" s="79" t="s">
        <v>290</v>
      </c>
      <c r="H202" s="79" t="s">
        <v>13</v>
      </c>
      <c r="I202" s="79" t="s">
        <v>13</v>
      </c>
      <c r="J202" s="79" t="s">
        <v>14</v>
      </c>
      <c r="K202" s="79" t="s">
        <v>12</v>
      </c>
      <c r="L202" s="79" t="s">
        <v>510</v>
      </c>
      <c r="M202" s="79" t="s">
        <v>292</v>
      </c>
      <c r="N202" s="81">
        <v>1706750</v>
      </c>
      <c r="O202" s="93">
        <v>352</v>
      </c>
      <c r="P202" s="79" t="s">
        <v>901</v>
      </c>
      <c r="Q202" s="82">
        <v>1706750</v>
      </c>
      <c r="R202" s="81">
        <f t="shared" si="5"/>
        <v>0</v>
      </c>
    </row>
    <row r="203" spans="2:18" ht="23.25" customHeight="1">
      <c r="B203" s="79" t="s">
        <v>511</v>
      </c>
      <c r="C203" s="79" t="s">
        <v>287</v>
      </c>
      <c r="D203" s="79" t="s">
        <v>288</v>
      </c>
      <c r="E203" s="79" t="s">
        <v>289</v>
      </c>
      <c r="F203" s="79" t="s">
        <v>167</v>
      </c>
      <c r="G203" s="79" t="s">
        <v>290</v>
      </c>
      <c r="H203" s="79" t="s">
        <v>13</v>
      </c>
      <c r="I203" s="79" t="s">
        <v>13</v>
      </c>
      <c r="J203" s="79" t="s">
        <v>14</v>
      </c>
      <c r="K203" s="79" t="s">
        <v>12</v>
      </c>
      <c r="L203" s="79" t="s">
        <v>510</v>
      </c>
      <c r="M203" s="79" t="s">
        <v>292</v>
      </c>
      <c r="N203" s="81">
        <v>1935000</v>
      </c>
      <c r="O203" s="93">
        <v>353</v>
      </c>
      <c r="P203" s="79" t="s">
        <v>902</v>
      </c>
      <c r="Q203" s="82">
        <v>1935000</v>
      </c>
      <c r="R203" s="81">
        <f t="shared" si="5"/>
        <v>0</v>
      </c>
    </row>
    <row r="204" spans="2:18" ht="23.25" customHeight="1">
      <c r="B204" s="79" t="s">
        <v>512</v>
      </c>
      <c r="C204" s="79" t="s">
        <v>287</v>
      </c>
      <c r="D204" s="79" t="s">
        <v>288</v>
      </c>
      <c r="E204" s="79" t="s">
        <v>289</v>
      </c>
      <c r="F204" s="79" t="s">
        <v>167</v>
      </c>
      <c r="G204" s="79" t="s">
        <v>290</v>
      </c>
      <c r="H204" s="79" t="s">
        <v>13</v>
      </c>
      <c r="I204" s="79" t="s">
        <v>13</v>
      </c>
      <c r="J204" s="79" t="s">
        <v>14</v>
      </c>
      <c r="K204" s="79" t="s">
        <v>12</v>
      </c>
      <c r="L204" s="79" t="s">
        <v>510</v>
      </c>
      <c r="M204" s="79" t="s">
        <v>292</v>
      </c>
      <c r="N204" s="81">
        <v>2566888</v>
      </c>
      <c r="O204" s="93">
        <v>354</v>
      </c>
      <c r="P204" s="79" t="s">
        <v>903</v>
      </c>
      <c r="Q204" s="82">
        <v>2566888</v>
      </c>
      <c r="R204" s="81">
        <f t="shared" si="5"/>
        <v>0</v>
      </c>
    </row>
    <row r="205" spans="2:18" ht="23.25" customHeight="1">
      <c r="B205" s="79" t="s">
        <v>513</v>
      </c>
      <c r="C205" s="79" t="s">
        <v>287</v>
      </c>
      <c r="D205" s="79" t="s">
        <v>288</v>
      </c>
      <c r="E205" s="79" t="s">
        <v>289</v>
      </c>
      <c r="F205" s="79" t="s">
        <v>167</v>
      </c>
      <c r="G205" s="79" t="s">
        <v>290</v>
      </c>
      <c r="H205" s="79" t="s">
        <v>13</v>
      </c>
      <c r="I205" s="79" t="s">
        <v>13</v>
      </c>
      <c r="J205" s="79" t="s">
        <v>14</v>
      </c>
      <c r="K205" s="79" t="s">
        <v>12</v>
      </c>
      <c r="L205" s="79" t="s">
        <v>510</v>
      </c>
      <c r="M205" s="79" t="s">
        <v>292</v>
      </c>
      <c r="N205" s="81">
        <v>2126250</v>
      </c>
      <c r="O205" s="93">
        <v>355</v>
      </c>
      <c r="P205" s="79" t="s">
        <v>904</v>
      </c>
      <c r="Q205" s="82">
        <v>2126250</v>
      </c>
      <c r="R205" s="81">
        <f t="shared" si="5"/>
        <v>0</v>
      </c>
    </row>
    <row r="206" spans="2:18" ht="23.25" customHeight="1">
      <c r="B206" s="79" t="s">
        <v>514</v>
      </c>
      <c r="C206" s="79" t="s">
        <v>287</v>
      </c>
      <c r="D206" s="79" t="s">
        <v>288</v>
      </c>
      <c r="E206" s="79" t="s">
        <v>289</v>
      </c>
      <c r="F206" s="79" t="s">
        <v>167</v>
      </c>
      <c r="G206" s="79" t="s">
        <v>290</v>
      </c>
      <c r="H206" s="79" t="s">
        <v>13</v>
      </c>
      <c r="I206" s="79" t="s">
        <v>13</v>
      </c>
      <c r="J206" s="79" t="s">
        <v>14</v>
      </c>
      <c r="K206" s="79" t="s">
        <v>12</v>
      </c>
      <c r="L206" s="79" t="s">
        <v>510</v>
      </c>
      <c r="M206" s="79" t="s">
        <v>292</v>
      </c>
      <c r="N206" s="81">
        <v>1645750</v>
      </c>
      <c r="O206" s="93">
        <v>356</v>
      </c>
      <c r="P206" s="79" t="s">
        <v>905</v>
      </c>
      <c r="Q206" s="82">
        <v>1645750</v>
      </c>
      <c r="R206" s="81">
        <f t="shared" si="5"/>
        <v>0</v>
      </c>
    </row>
    <row r="207" spans="2:18" ht="23.25" customHeight="1">
      <c r="B207" s="79" t="s">
        <v>515</v>
      </c>
      <c r="C207" s="79" t="s">
        <v>287</v>
      </c>
      <c r="D207" s="79" t="s">
        <v>288</v>
      </c>
      <c r="E207" s="79" t="s">
        <v>289</v>
      </c>
      <c r="F207" s="79" t="s">
        <v>167</v>
      </c>
      <c r="G207" s="79" t="s">
        <v>290</v>
      </c>
      <c r="H207" s="79" t="s">
        <v>13</v>
      </c>
      <c r="I207" s="79" t="s">
        <v>13</v>
      </c>
      <c r="J207" s="79" t="s">
        <v>14</v>
      </c>
      <c r="K207" s="79" t="s">
        <v>12</v>
      </c>
      <c r="L207" s="79" t="s">
        <v>510</v>
      </c>
      <c r="M207" s="79" t="s">
        <v>292</v>
      </c>
      <c r="N207" s="81">
        <v>1348375</v>
      </c>
      <c r="O207" s="93">
        <v>357</v>
      </c>
      <c r="P207" s="79" t="s">
        <v>906</v>
      </c>
      <c r="Q207" s="82">
        <v>1348375</v>
      </c>
      <c r="R207" s="81">
        <f t="shared" si="5"/>
        <v>0</v>
      </c>
    </row>
    <row r="208" spans="2:18" ht="23.25" customHeight="1">
      <c r="B208" s="79" t="s">
        <v>516</v>
      </c>
      <c r="C208" s="79" t="s">
        <v>287</v>
      </c>
      <c r="D208" s="79" t="s">
        <v>288</v>
      </c>
      <c r="E208" s="79" t="s">
        <v>289</v>
      </c>
      <c r="F208" s="79" t="s">
        <v>167</v>
      </c>
      <c r="G208" s="79" t="s">
        <v>290</v>
      </c>
      <c r="H208" s="79" t="s">
        <v>13</v>
      </c>
      <c r="I208" s="79" t="s">
        <v>13</v>
      </c>
      <c r="J208" s="79" t="s">
        <v>14</v>
      </c>
      <c r="K208" s="79" t="s">
        <v>12</v>
      </c>
      <c r="L208" s="79" t="s">
        <v>510</v>
      </c>
      <c r="M208" s="79" t="s">
        <v>292</v>
      </c>
      <c r="N208" s="81">
        <v>786000</v>
      </c>
      <c r="O208" s="93">
        <v>360</v>
      </c>
      <c r="P208" s="79" t="s">
        <v>907</v>
      </c>
      <c r="Q208" s="82">
        <v>786000</v>
      </c>
      <c r="R208" s="81">
        <f t="shared" si="5"/>
        <v>0</v>
      </c>
    </row>
    <row r="209" spans="2:18" ht="23.25" customHeight="1">
      <c r="B209" s="79" t="s">
        <v>517</v>
      </c>
      <c r="C209" s="79" t="s">
        <v>287</v>
      </c>
      <c r="D209" s="79" t="s">
        <v>288</v>
      </c>
      <c r="E209" s="79" t="s">
        <v>289</v>
      </c>
      <c r="F209" s="79" t="s">
        <v>167</v>
      </c>
      <c r="G209" s="79" t="s">
        <v>290</v>
      </c>
      <c r="H209" s="79" t="s">
        <v>13</v>
      </c>
      <c r="I209" s="79" t="s">
        <v>13</v>
      </c>
      <c r="J209" s="79" t="s">
        <v>14</v>
      </c>
      <c r="K209" s="79" t="s">
        <v>12</v>
      </c>
      <c r="L209" s="79" t="s">
        <v>510</v>
      </c>
      <c r="M209" s="79" t="s">
        <v>292</v>
      </c>
      <c r="N209" s="81">
        <v>911500</v>
      </c>
      <c r="O209" s="93">
        <v>361</v>
      </c>
      <c r="P209" s="79" t="s">
        <v>908</v>
      </c>
      <c r="Q209" s="82">
        <v>911500</v>
      </c>
      <c r="R209" s="81">
        <f t="shared" si="5"/>
        <v>0</v>
      </c>
    </row>
    <row r="210" spans="2:18" ht="23.25" customHeight="1">
      <c r="B210" s="79" t="s">
        <v>518</v>
      </c>
      <c r="C210" s="79" t="s">
        <v>287</v>
      </c>
      <c r="D210" s="79" t="s">
        <v>288</v>
      </c>
      <c r="E210" s="79" t="s">
        <v>289</v>
      </c>
      <c r="F210" s="79" t="s">
        <v>167</v>
      </c>
      <c r="G210" s="79" t="s">
        <v>290</v>
      </c>
      <c r="H210" s="79" t="s">
        <v>13</v>
      </c>
      <c r="I210" s="79" t="s">
        <v>13</v>
      </c>
      <c r="J210" s="79" t="s">
        <v>14</v>
      </c>
      <c r="K210" s="79" t="s">
        <v>12</v>
      </c>
      <c r="L210" s="79" t="s">
        <v>510</v>
      </c>
      <c r="M210" s="79" t="s">
        <v>292</v>
      </c>
      <c r="N210" s="81">
        <v>1016750</v>
      </c>
      <c r="O210" s="93">
        <v>362</v>
      </c>
      <c r="P210" s="79" t="s">
        <v>909</v>
      </c>
      <c r="Q210" s="82">
        <v>1016750</v>
      </c>
      <c r="R210" s="81">
        <f t="shared" si="5"/>
        <v>0</v>
      </c>
    </row>
    <row r="211" spans="2:18" ht="23.25" customHeight="1">
      <c r="B211" s="79" t="s">
        <v>519</v>
      </c>
      <c r="C211" s="79" t="s">
        <v>287</v>
      </c>
      <c r="D211" s="79" t="s">
        <v>288</v>
      </c>
      <c r="E211" s="79" t="s">
        <v>289</v>
      </c>
      <c r="F211" s="79" t="s">
        <v>167</v>
      </c>
      <c r="G211" s="79" t="s">
        <v>290</v>
      </c>
      <c r="H211" s="79" t="s">
        <v>13</v>
      </c>
      <c r="I211" s="79" t="s">
        <v>13</v>
      </c>
      <c r="J211" s="79" t="s">
        <v>14</v>
      </c>
      <c r="K211" s="79" t="s">
        <v>12</v>
      </c>
      <c r="L211" s="79" t="s">
        <v>510</v>
      </c>
      <c r="M211" s="79" t="s">
        <v>292</v>
      </c>
      <c r="N211" s="81">
        <v>1185750</v>
      </c>
      <c r="O211" s="93">
        <v>363</v>
      </c>
      <c r="P211" s="79" t="s">
        <v>910</v>
      </c>
      <c r="Q211" s="82">
        <v>1185750</v>
      </c>
      <c r="R211" s="81">
        <f t="shared" si="5"/>
        <v>0</v>
      </c>
    </row>
    <row r="212" spans="2:18" ht="23.25" customHeight="1">
      <c r="B212" s="79" t="s">
        <v>520</v>
      </c>
      <c r="C212" s="79" t="s">
        <v>287</v>
      </c>
      <c r="D212" s="79" t="s">
        <v>288</v>
      </c>
      <c r="E212" s="79" t="s">
        <v>289</v>
      </c>
      <c r="F212" s="79" t="s">
        <v>167</v>
      </c>
      <c r="G212" s="79" t="s">
        <v>290</v>
      </c>
      <c r="H212" s="79" t="s">
        <v>13</v>
      </c>
      <c r="I212" s="79" t="s">
        <v>13</v>
      </c>
      <c r="J212" s="79" t="s">
        <v>14</v>
      </c>
      <c r="K212" s="79" t="s">
        <v>12</v>
      </c>
      <c r="L212" s="79" t="s">
        <v>510</v>
      </c>
      <c r="M212" s="79" t="s">
        <v>292</v>
      </c>
      <c r="N212" s="81">
        <v>1086500</v>
      </c>
      <c r="O212" s="93">
        <v>364</v>
      </c>
      <c r="P212" s="79" t="s">
        <v>911</v>
      </c>
      <c r="Q212" s="82">
        <v>1086500</v>
      </c>
      <c r="R212" s="81">
        <f t="shared" si="5"/>
        <v>0</v>
      </c>
    </row>
    <row r="213" spans="2:18" ht="23.25" customHeight="1">
      <c r="B213" s="79" t="s">
        <v>521</v>
      </c>
      <c r="C213" s="79" t="s">
        <v>287</v>
      </c>
      <c r="D213" s="79" t="s">
        <v>288</v>
      </c>
      <c r="E213" s="79" t="s">
        <v>289</v>
      </c>
      <c r="F213" s="79" t="s">
        <v>167</v>
      </c>
      <c r="G213" s="79" t="s">
        <v>290</v>
      </c>
      <c r="H213" s="79" t="s">
        <v>13</v>
      </c>
      <c r="I213" s="79" t="s">
        <v>13</v>
      </c>
      <c r="J213" s="79" t="s">
        <v>14</v>
      </c>
      <c r="K213" s="79" t="s">
        <v>12</v>
      </c>
      <c r="L213" s="79" t="s">
        <v>510</v>
      </c>
      <c r="M213" s="79" t="s">
        <v>292</v>
      </c>
      <c r="N213" s="81">
        <v>924500</v>
      </c>
      <c r="O213" s="93">
        <v>365</v>
      </c>
      <c r="P213" s="79" t="s">
        <v>912</v>
      </c>
      <c r="Q213" s="82">
        <v>924500</v>
      </c>
      <c r="R213" s="81">
        <f t="shared" si="5"/>
        <v>0</v>
      </c>
    </row>
    <row r="214" spans="2:18" ht="23.25" customHeight="1">
      <c r="B214" s="79" t="s">
        <v>522</v>
      </c>
      <c r="C214" s="79" t="s">
        <v>287</v>
      </c>
      <c r="D214" s="79" t="s">
        <v>288</v>
      </c>
      <c r="E214" s="79" t="s">
        <v>289</v>
      </c>
      <c r="F214" s="79" t="s">
        <v>167</v>
      </c>
      <c r="G214" s="79" t="s">
        <v>290</v>
      </c>
      <c r="H214" s="79" t="s">
        <v>13</v>
      </c>
      <c r="I214" s="79" t="s">
        <v>13</v>
      </c>
      <c r="J214" s="79" t="s">
        <v>14</v>
      </c>
      <c r="K214" s="79" t="s">
        <v>12</v>
      </c>
      <c r="L214" s="79" t="s">
        <v>510</v>
      </c>
      <c r="M214" s="79" t="s">
        <v>292</v>
      </c>
      <c r="N214" s="81">
        <v>917000</v>
      </c>
      <c r="O214" s="93">
        <v>366</v>
      </c>
      <c r="P214" s="79" t="s">
        <v>913</v>
      </c>
      <c r="Q214" s="82">
        <v>917000</v>
      </c>
      <c r="R214" s="81">
        <f t="shared" si="5"/>
        <v>0</v>
      </c>
    </row>
    <row r="215" spans="2:18" ht="23.25" customHeight="1">
      <c r="B215" s="79" t="s">
        <v>523</v>
      </c>
      <c r="C215" s="79" t="s">
        <v>287</v>
      </c>
      <c r="D215" s="79" t="s">
        <v>288</v>
      </c>
      <c r="E215" s="79" t="s">
        <v>289</v>
      </c>
      <c r="F215" s="79" t="s">
        <v>167</v>
      </c>
      <c r="G215" s="79" t="s">
        <v>290</v>
      </c>
      <c r="H215" s="79" t="s">
        <v>13</v>
      </c>
      <c r="I215" s="79" t="s">
        <v>13</v>
      </c>
      <c r="J215" s="79" t="s">
        <v>14</v>
      </c>
      <c r="K215" s="79" t="s">
        <v>12</v>
      </c>
      <c r="L215" s="79" t="s">
        <v>510</v>
      </c>
      <c r="M215" s="79" t="s">
        <v>292</v>
      </c>
      <c r="N215" s="81">
        <v>20125</v>
      </c>
      <c r="O215" s="93">
        <v>367</v>
      </c>
      <c r="P215" s="79" t="s">
        <v>914</v>
      </c>
      <c r="Q215" s="82">
        <v>20125</v>
      </c>
      <c r="R215" s="81">
        <f t="shared" si="5"/>
        <v>0</v>
      </c>
    </row>
    <row r="216" spans="2:18" ht="23.25" customHeight="1">
      <c r="B216" s="79" t="s">
        <v>524</v>
      </c>
      <c r="C216" s="79" t="s">
        <v>287</v>
      </c>
      <c r="D216" s="79" t="s">
        <v>288</v>
      </c>
      <c r="E216" s="79" t="s">
        <v>289</v>
      </c>
      <c r="F216" s="79" t="s">
        <v>167</v>
      </c>
      <c r="G216" s="79" t="s">
        <v>290</v>
      </c>
      <c r="H216" s="79" t="s">
        <v>13</v>
      </c>
      <c r="I216" s="79" t="s">
        <v>13</v>
      </c>
      <c r="J216" s="79" t="s">
        <v>14</v>
      </c>
      <c r="K216" s="79" t="s">
        <v>12</v>
      </c>
      <c r="L216" s="79" t="s">
        <v>510</v>
      </c>
      <c r="M216" s="79" t="s">
        <v>292</v>
      </c>
      <c r="N216" s="81">
        <v>198500</v>
      </c>
      <c r="O216" s="93">
        <v>368</v>
      </c>
      <c r="P216" s="79" t="s">
        <v>915</v>
      </c>
      <c r="Q216" s="82">
        <v>198500</v>
      </c>
      <c r="R216" s="81">
        <f t="shared" si="5"/>
        <v>0</v>
      </c>
    </row>
    <row r="217" spans="2:18" ht="23.25" customHeight="1">
      <c r="B217" s="79" t="s">
        <v>525</v>
      </c>
      <c r="C217" s="79" t="s">
        <v>287</v>
      </c>
      <c r="D217" s="79" t="s">
        <v>288</v>
      </c>
      <c r="E217" s="79" t="s">
        <v>289</v>
      </c>
      <c r="F217" s="79" t="s">
        <v>167</v>
      </c>
      <c r="G217" s="79" t="s">
        <v>290</v>
      </c>
      <c r="H217" s="79" t="s">
        <v>13</v>
      </c>
      <c r="I217" s="79" t="s">
        <v>13</v>
      </c>
      <c r="J217" s="79" t="s">
        <v>14</v>
      </c>
      <c r="K217" s="79" t="s">
        <v>12</v>
      </c>
      <c r="L217" s="79" t="s">
        <v>510</v>
      </c>
      <c r="M217" s="79" t="s">
        <v>292</v>
      </c>
      <c r="N217" s="81">
        <v>513500</v>
      </c>
      <c r="O217" s="93">
        <v>369</v>
      </c>
      <c r="P217" s="79" t="s">
        <v>916</v>
      </c>
      <c r="Q217" s="82">
        <v>513500</v>
      </c>
      <c r="R217" s="81">
        <f t="shared" si="5"/>
        <v>0</v>
      </c>
    </row>
    <row r="218" spans="2:18" ht="23.25" customHeight="1">
      <c r="B218" s="79" t="s">
        <v>526</v>
      </c>
      <c r="C218" s="79" t="s">
        <v>287</v>
      </c>
      <c r="D218" s="79" t="s">
        <v>288</v>
      </c>
      <c r="E218" s="79" t="s">
        <v>289</v>
      </c>
      <c r="F218" s="79" t="s">
        <v>167</v>
      </c>
      <c r="G218" s="79" t="s">
        <v>290</v>
      </c>
      <c r="H218" s="79" t="s">
        <v>13</v>
      </c>
      <c r="I218" s="79" t="s">
        <v>13</v>
      </c>
      <c r="J218" s="79" t="s">
        <v>14</v>
      </c>
      <c r="K218" s="79" t="s">
        <v>12</v>
      </c>
      <c r="L218" s="79" t="s">
        <v>510</v>
      </c>
      <c r="M218" s="79" t="s">
        <v>292</v>
      </c>
      <c r="N218" s="81">
        <v>486750</v>
      </c>
      <c r="O218" s="93">
        <v>370</v>
      </c>
      <c r="P218" s="79" t="s">
        <v>917</v>
      </c>
      <c r="Q218" s="82">
        <v>486750</v>
      </c>
      <c r="R218" s="81">
        <f t="shared" si="5"/>
        <v>0</v>
      </c>
    </row>
    <row r="219" spans="2:18" ht="23.25" customHeight="1">
      <c r="B219" s="79" t="s">
        <v>527</v>
      </c>
      <c r="C219" s="79" t="s">
        <v>287</v>
      </c>
      <c r="D219" s="79" t="s">
        <v>288</v>
      </c>
      <c r="E219" s="79" t="s">
        <v>289</v>
      </c>
      <c r="F219" s="79" t="s">
        <v>167</v>
      </c>
      <c r="G219" s="79" t="s">
        <v>290</v>
      </c>
      <c r="H219" s="79" t="s">
        <v>13</v>
      </c>
      <c r="I219" s="79" t="s">
        <v>13</v>
      </c>
      <c r="J219" s="79" t="s">
        <v>14</v>
      </c>
      <c r="K219" s="79" t="s">
        <v>12</v>
      </c>
      <c r="L219" s="79" t="s">
        <v>510</v>
      </c>
      <c r="M219" s="79" t="s">
        <v>292</v>
      </c>
      <c r="N219" s="81">
        <v>445875</v>
      </c>
      <c r="O219" s="93">
        <v>371</v>
      </c>
      <c r="P219" s="79" t="s">
        <v>918</v>
      </c>
      <c r="Q219" s="181">
        <v>445875</v>
      </c>
      <c r="R219" s="81">
        <f t="shared" si="5"/>
        <v>0</v>
      </c>
    </row>
    <row r="220" spans="2:18" ht="23.25" customHeight="1">
      <c r="B220" s="79" t="s">
        <v>528</v>
      </c>
      <c r="C220" s="79" t="s">
        <v>287</v>
      </c>
      <c r="D220" s="79" t="s">
        <v>288</v>
      </c>
      <c r="E220" s="79" t="s">
        <v>289</v>
      </c>
      <c r="F220" s="79" t="s">
        <v>167</v>
      </c>
      <c r="G220" s="79" t="s">
        <v>290</v>
      </c>
      <c r="H220" s="79" t="s">
        <v>13</v>
      </c>
      <c r="I220" s="79" t="s">
        <v>13</v>
      </c>
      <c r="J220" s="79" t="s">
        <v>14</v>
      </c>
      <c r="K220" s="79" t="s">
        <v>12</v>
      </c>
      <c r="L220" s="79" t="s">
        <v>510</v>
      </c>
      <c r="M220" s="79" t="s">
        <v>292</v>
      </c>
      <c r="N220" s="81">
        <v>316375</v>
      </c>
      <c r="O220" s="170">
        <v>372</v>
      </c>
      <c r="P220" s="79" t="s">
        <v>919</v>
      </c>
      <c r="Q220" s="82">
        <v>316375</v>
      </c>
      <c r="R220" s="81">
        <f t="shared" si="5"/>
        <v>0</v>
      </c>
    </row>
    <row r="221" spans="2:18" ht="23.25" customHeight="1">
      <c r="B221" s="79" t="s">
        <v>954</v>
      </c>
      <c r="C221" s="79"/>
      <c r="D221" s="79"/>
      <c r="E221" s="79"/>
      <c r="F221" s="79"/>
      <c r="G221" s="79" t="s">
        <v>290</v>
      </c>
      <c r="H221" s="79"/>
      <c r="I221" s="79"/>
      <c r="J221" s="79"/>
      <c r="K221" s="79"/>
      <c r="L221" s="79" t="s">
        <v>808</v>
      </c>
      <c r="M221" s="79"/>
      <c r="N221" s="81">
        <v>139000</v>
      </c>
      <c r="O221" s="170"/>
      <c r="P221" s="79"/>
      <c r="Q221" s="181"/>
      <c r="R221" s="81"/>
    </row>
    <row r="222" spans="2:18" ht="23.25" customHeight="1">
      <c r="B222" s="79" t="s">
        <v>955</v>
      </c>
      <c r="C222" s="79"/>
      <c r="D222" s="79"/>
      <c r="E222" s="79"/>
      <c r="F222" s="79"/>
      <c r="G222" s="79" t="s">
        <v>290</v>
      </c>
      <c r="H222" s="79"/>
      <c r="I222" s="79"/>
      <c r="J222" s="79"/>
      <c r="K222" s="79"/>
      <c r="L222" s="79" t="s">
        <v>808</v>
      </c>
      <c r="M222" s="79"/>
      <c r="N222" s="81">
        <v>45000</v>
      </c>
      <c r="O222" s="170"/>
      <c r="P222" s="79"/>
      <c r="Q222" s="181"/>
      <c r="R222" s="81"/>
    </row>
    <row r="223" spans="2:18" ht="23.25" customHeight="1">
      <c r="B223" s="79" t="s">
        <v>928</v>
      </c>
      <c r="C223" s="79"/>
      <c r="D223" s="79"/>
      <c r="E223" s="79"/>
      <c r="F223" s="79"/>
      <c r="G223" s="79" t="s">
        <v>290</v>
      </c>
      <c r="H223" s="79"/>
      <c r="I223" s="79"/>
      <c r="J223" s="79"/>
      <c r="K223" s="79"/>
      <c r="L223" s="79" t="s">
        <v>808</v>
      </c>
      <c r="M223" s="79"/>
      <c r="N223" s="81">
        <v>1604875</v>
      </c>
      <c r="O223" s="170"/>
      <c r="P223" s="79"/>
      <c r="Q223" s="82"/>
      <c r="R223" s="81"/>
    </row>
    <row r="224" spans="2:18" ht="23.25" customHeight="1">
      <c r="B224" s="79" t="s">
        <v>929</v>
      </c>
      <c r="C224" s="79"/>
      <c r="D224" s="79"/>
      <c r="E224" s="79"/>
      <c r="F224" s="79"/>
      <c r="G224" s="79" t="s">
        <v>290</v>
      </c>
      <c r="H224" s="79"/>
      <c r="I224" s="79"/>
      <c r="J224" s="79"/>
      <c r="K224" s="79"/>
      <c r="L224" s="79" t="s">
        <v>808</v>
      </c>
      <c r="M224" s="79"/>
      <c r="N224" s="81">
        <v>49500</v>
      </c>
      <c r="O224" s="170"/>
      <c r="P224" s="79"/>
      <c r="Q224" s="82"/>
      <c r="R224" s="81"/>
    </row>
    <row r="225" spans="2:18" ht="23.25" customHeight="1">
      <c r="B225" s="79" t="s">
        <v>930</v>
      </c>
      <c r="C225" s="79"/>
      <c r="D225" s="79"/>
      <c r="E225" s="79"/>
      <c r="F225" s="79"/>
      <c r="G225" s="79" t="s">
        <v>290</v>
      </c>
      <c r="H225" s="79"/>
      <c r="I225" s="79"/>
      <c r="J225" s="79"/>
      <c r="K225" s="79"/>
      <c r="L225" s="79" t="s">
        <v>808</v>
      </c>
      <c r="M225" s="79"/>
      <c r="N225" s="81">
        <v>1921750</v>
      </c>
      <c r="O225" s="170"/>
      <c r="P225" s="79"/>
      <c r="Q225" s="82"/>
      <c r="R225" s="81"/>
    </row>
    <row r="226" spans="2:18" ht="23.25" customHeight="1">
      <c r="B226" s="79" t="s">
        <v>931</v>
      </c>
      <c r="C226" s="79"/>
      <c r="D226" s="79"/>
      <c r="E226" s="79"/>
      <c r="F226" s="79"/>
      <c r="G226" s="79" t="s">
        <v>290</v>
      </c>
      <c r="H226" s="79"/>
      <c r="I226" s="79"/>
      <c r="J226" s="79"/>
      <c r="K226" s="79"/>
      <c r="L226" s="79" t="s">
        <v>808</v>
      </c>
      <c r="M226" s="79"/>
      <c r="N226" s="81">
        <v>1834875</v>
      </c>
      <c r="O226" s="170"/>
      <c r="P226" s="79"/>
      <c r="Q226" s="82"/>
      <c r="R226" s="81"/>
    </row>
    <row r="227" spans="2:18" ht="23.25" customHeight="1">
      <c r="B227" s="79" t="s">
        <v>932</v>
      </c>
      <c r="C227" s="79"/>
      <c r="D227" s="79"/>
      <c r="E227" s="79"/>
      <c r="F227" s="79"/>
      <c r="G227" s="79" t="s">
        <v>290</v>
      </c>
      <c r="H227" s="79"/>
      <c r="I227" s="79"/>
      <c r="J227" s="79"/>
      <c r="K227" s="79"/>
      <c r="L227" s="79" t="s">
        <v>808</v>
      </c>
      <c r="M227" s="79"/>
      <c r="N227" s="81">
        <v>199000</v>
      </c>
      <c r="O227" s="170"/>
      <c r="P227" s="79"/>
      <c r="Q227" s="82"/>
      <c r="R227" s="81"/>
    </row>
    <row r="228" spans="2:18" ht="23.25" customHeight="1">
      <c r="B228" s="79" t="s">
        <v>933</v>
      </c>
      <c r="C228" s="79"/>
      <c r="D228" s="79"/>
      <c r="E228" s="79"/>
      <c r="F228" s="79"/>
      <c r="G228" s="79" t="s">
        <v>290</v>
      </c>
      <c r="H228" s="79"/>
      <c r="I228" s="79"/>
      <c r="J228" s="79"/>
      <c r="K228" s="79"/>
      <c r="L228" s="79" t="s">
        <v>808</v>
      </c>
      <c r="M228" s="79"/>
      <c r="N228" s="81">
        <v>1482375</v>
      </c>
      <c r="O228" s="170"/>
      <c r="P228" s="79"/>
      <c r="Q228" s="82"/>
      <c r="R228" s="81"/>
    </row>
    <row r="229" spans="2:18" ht="23.25" customHeight="1">
      <c r="B229" s="79" t="s">
        <v>934</v>
      </c>
      <c r="C229" s="79"/>
      <c r="D229" s="79"/>
      <c r="E229" s="79"/>
      <c r="F229" s="79"/>
      <c r="G229" s="79" t="s">
        <v>290</v>
      </c>
      <c r="H229" s="79"/>
      <c r="I229" s="79"/>
      <c r="J229" s="79"/>
      <c r="K229" s="79"/>
      <c r="L229" s="79" t="s">
        <v>808</v>
      </c>
      <c r="M229" s="79"/>
      <c r="N229" s="81">
        <v>471500</v>
      </c>
      <c r="O229" s="170"/>
      <c r="P229" s="79"/>
      <c r="Q229" s="82"/>
      <c r="R229" s="81"/>
    </row>
    <row r="230" spans="2:18" ht="23.25" customHeight="1">
      <c r="B230" s="79" t="s">
        <v>935</v>
      </c>
      <c r="C230" s="79"/>
      <c r="D230" s="79"/>
      <c r="E230" s="79"/>
      <c r="F230" s="79"/>
      <c r="G230" s="79" t="s">
        <v>290</v>
      </c>
      <c r="H230" s="79"/>
      <c r="I230" s="79"/>
      <c r="J230" s="79"/>
      <c r="K230" s="79"/>
      <c r="L230" s="79" t="s">
        <v>808</v>
      </c>
      <c r="M230" s="79"/>
      <c r="N230" s="81">
        <v>1021500</v>
      </c>
      <c r="O230" s="170"/>
      <c r="P230" s="79"/>
      <c r="Q230" s="82"/>
      <c r="R230" s="81"/>
    </row>
    <row r="231" spans="2:18" ht="23.25" customHeight="1">
      <c r="B231" s="79" t="s">
        <v>936</v>
      </c>
      <c r="C231" s="79"/>
      <c r="D231" s="79"/>
      <c r="E231" s="79"/>
      <c r="F231" s="79"/>
      <c r="G231" s="79" t="s">
        <v>290</v>
      </c>
      <c r="H231" s="79"/>
      <c r="I231" s="79"/>
      <c r="J231" s="79"/>
      <c r="K231" s="79"/>
      <c r="L231" s="79" t="s">
        <v>808</v>
      </c>
      <c r="M231" s="79"/>
      <c r="N231" s="81">
        <v>397500</v>
      </c>
      <c r="O231" s="170"/>
      <c r="P231" s="79"/>
      <c r="Q231" s="82"/>
      <c r="R231" s="81"/>
    </row>
    <row r="232" spans="2:18" ht="23.25" customHeight="1">
      <c r="B232" s="79" t="s">
        <v>937</v>
      </c>
      <c r="C232" s="79"/>
      <c r="D232" s="79"/>
      <c r="E232" s="79"/>
      <c r="F232" s="79"/>
      <c r="G232" s="79" t="s">
        <v>290</v>
      </c>
      <c r="H232" s="79"/>
      <c r="I232" s="79"/>
      <c r="J232" s="79"/>
      <c r="K232" s="79"/>
      <c r="L232" s="79" t="s">
        <v>808</v>
      </c>
      <c r="M232" s="79"/>
      <c r="N232" s="81">
        <v>255000</v>
      </c>
      <c r="O232" s="170"/>
      <c r="P232" s="79"/>
      <c r="Q232" s="82"/>
      <c r="R232" s="81"/>
    </row>
    <row r="233" spans="2:18" ht="23.25" customHeight="1">
      <c r="B233" s="79" t="s">
        <v>938</v>
      </c>
      <c r="C233" s="79"/>
      <c r="D233" s="79"/>
      <c r="E233" s="79"/>
      <c r="F233" s="79"/>
      <c r="G233" s="79" t="s">
        <v>290</v>
      </c>
      <c r="H233" s="79"/>
      <c r="I233" s="79"/>
      <c r="J233" s="79"/>
      <c r="K233" s="79"/>
      <c r="L233" s="79" t="s">
        <v>808</v>
      </c>
      <c r="M233" s="79"/>
      <c r="N233" s="81">
        <v>176500</v>
      </c>
      <c r="O233" s="170"/>
      <c r="P233" s="79"/>
      <c r="Q233" s="82"/>
      <c r="R233" s="81"/>
    </row>
    <row r="234" spans="2:18" ht="23.25" customHeight="1">
      <c r="B234" s="79" t="s">
        <v>939</v>
      </c>
      <c r="C234" s="79"/>
      <c r="D234" s="79"/>
      <c r="E234" s="79"/>
      <c r="F234" s="79"/>
      <c r="G234" s="79" t="s">
        <v>290</v>
      </c>
      <c r="H234" s="79"/>
      <c r="I234" s="79"/>
      <c r="J234" s="79"/>
      <c r="K234" s="79"/>
      <c r="L234" s="79" t="s">
        <v>808</v>
      </c>
      <c r="M234" s="79"/>
      <c r="N234" s="81">
        <v>6000</v>
      </c>
      <c r="O234" s="170"/>
      <c r="P234" s="79"/>
      <c r="Q234" s="82"/>
      <c r="R234" s="81"/>
    </row>
    <row r="235" spans="2:18" ht="23.25" customHeight="1">
      <c r="B235" s="79" t="s">
        <v>940</v>
      </c>
      <c r="C235" s="79"/>
      <c r="D235" s="79"/>
      <c r="E235" s="79"/>
      <c r="F235" s="79"/>
      <c r="G235" s="79" t="s">
        <v>290</v>
      </c>
      <c r="H235" s="79"/>
      <c r="I235" s="79"/>
      <c r="J235" s="79"/>
      <c r="K235" s="79"/>
      <c r="L235" s="79" t="s">
        <v>808</v>
      </c>
      <c r="M235" s="79"/>
      <c r="N235" s="81">
        <v>5250</v>
      </c>
      <c r="O235" s="170"/>
      <c r="P235" s="79"/>
      <c r="Q235" s="82"/>
      <c r="R235" s="81"/>
    </row>
    <row r="236" spans="2:18" ht="23.25" customHeight="1">
      <c r="B236" s="79" t="s">
        <v>941</v>
      </c>
      <c r="C236" s="79"/>
      <c r="D236" s="79"/>
      <c r="E236" s="79"/>
      <c r="F236" s="79"/>
      <c r="G236" s="79" t="s">
        <v>290</v>
      </c>
      <c r="H236" s="79"/>
      <c r="I236" s="79"/>
      <c r="J236" s="79"/>
      <c r="K236" s="79"/>
      <c r="L236" s="79" t="s">
        <v>927</v>
      </c>
      <c r="M236" s="79"/>
      <c r="N236" s="81">
        <v>1500</v>
      </c>
      <c r="O236" s="170"/>
      <c r="P236" s="79"/>
      <c r="Q236" s="82"/>
      <c r="R236" s="81"/>
    </row>
    <row r="237" spans="2:18" ht="23.25" customHeight="1">
      <c r="B237" s="79" t="s">
        <v>942</v>
      </c>
      <c r="C237" s="79"/>
      <c r="D237" s="79"/>
      <c r="E237" s="79"/>
      <c r="F237" s="79"/>
      <c r="G237" s="79" t="s">
        <v>290</v>
      </c>
      <c r="H237" s="79"/>
      <c r="I237" s="79"/>
      <c r="J237" s="79"/>
      <c r="K237" s="79"/>
      <c r="L237" s="79" t="s">
        <v>927</v>
      </c>
      <c r="M237" s="79"/>
      <c r="N237" s="81">
        <v>803000</v>
      </c>
      <c r="O237" s="170"/>
      <c r="P237" s="79"/>
      <c r="Q237" s="82"/>
      <c r="R237" s="81"/>
    </row>
    <row r="238" spans="2:18" ht="23.25" customHeight="1">
      <c r="B238" s="79" t="s">
        <v>943</v>
      </c>
      <c r="C238" s="79"/>
      <c r="D238" s="79"/>
      <c r="E238" s="79"/>
      <c r="F238" s="79"/>
      <c r="G238" s="79" t="s">
        <v>290</v>
      </c>
      <c r="H238" s="79"/>
      <c r="I238" s="79"/>
      <c r="J238" s="79"/>
      <c r="K238" s="79"/>
      <c r="L238" s="79" t="s">
        <v>927</v>
      </c>
      <c r="M238" s="79"/>
      <c r="N238" s="81">
        <v>160000</v>
      </c>
      <c r="O238" s="170"/>
      <c r="P238" s="79"/>
      <c r="Q238" s="82"/>
      <c r="R238" s="81"/>
    </row>
    <row r="239" spans="2:18" ht="23.25" customHeight="1">
      <c r="B239" s="79" t="s">
        <v>944</v>
      </c>
      <c r="C239" s="79"/>
      <c r="D239" s="79"/>
      <c r="E239" s="79"/>
      <c r="F239" s="79"/>
      <c r="G239" s="79" t="s">
        <v>290</v>
      </c>
      <c r="H239" s="79"/>
      <c r="I239" s="79"/>
      <c r="J239" s="79"/>
      <c r="K239" s="79"/>
      <c r="L239" s="79" t="s">
        <v>927</v>
      </c>
      <c r="M239" s="79"/>
      <c r="N239" s="81">
        <v>26000</v>
      </c>
      <c r="O239" s="170"/>
      <c r="P239" s="79"/>
      <c r="Q239" s="82"/>
      <c r="R239" s="81"/>
    </row>
    <row r="240" spans="2:18" ht="23.25" customHeight="1">
      <c r="B240" s="79" t="s">
        <v>945</v>
      </c>
      <c r="C240" s="79"/>
      <c r="D240" s="79"/>
      <c r="E240" s="79"/>
      <c r="F240" s="79"/>
      <c r="G240" s="79" t="s">
        <v>290</v>
      </c>
      <c r="H240" s="79"/>
      <c r="I240" s="79"/>
      <c r="J240" s="79"/>
      <c r="K240" s="79"/>
      <c r="L240" s="79" t="s">
        <v>927</v>
      </c>
      <c r="M240" s="79"/>
      <c r="N240" s="81">
        <v>224000</v>
      </c>
      <c r="O240" s="170"/>
      <c r="P240" s="79"/>
      <c r="Q240" s="82"/>
      <c r="R240" s="81"/>
    </row>
    <row r="241" spans="2:18" ht="23.25" customHeight="1">
      <c r="B241" s="79" t="s">
        <v>946</v>
      </c>
      <c r="C241" s="79"/>
      <c r="D241" s="79"/>
      <c r="E241" s="79"/>
      <c r="F241" s="79"/>
      <c r="G241" s="79" t="s">
        <v>290</v>
      </c>
      <c r="H241" s="79"/>
      <c r="I241" s="79"/>
      <c r="J241" s="79"/>
      <c r="K241" s="79"/>
      <c r="L241" s="79" t="s">
        <v>927</v>
      </c>
      <c r="M241" s="79"/>
      <c r="N241" s="81">
        <v>32000</v>
      </c>
      <c r="O241" s="170"/>
      <c r="P241" s="79"/>
      <c r="Q241" s="82"/>
      <c r="R241" s="81"/>
    </row>
    <row r="242" spans="2:18" ht="23.25" customHeight="1">
      <c r="B242" s="79" t="s">
        <v>947</v>
      </c>
      <c r="C242" s="79"/>
      <c r="D242" s="79"/>
      <c r="E242" s="79"/>
      <c r="F242" s="79"/>
      <c r="G242" s="79" t="s">
        <v>290</v>
      </c>
      <c r="H242" s="79"/>
      <c r="I242" s="79"/>
      <c r="J242" s="79"/>
      <c r="K242" s="79"/>
      <c r="L242" s="79" t="s">
        <v>927</v>
      </c>
      <c r="M242" s="79"/>
      <c r="N242" s="81">
        <v>8000</v>
      </c>
      <c r="O242" s="170"/>
      <c r="P242" s="79"/>
      <c r="Q242" s="82"/>
      <c r="R242" s="81"/>
    </row>
    <row r="243" spans="2:18" ht="23.25" customHeight="1">
      <c r="B243" s="79" t="s">
        <v>948</v>
      </c>
      <c r="C243" s="79"/>
      <c r="D243" s="79"/>
      <c r="E243" s="79"/>
      <c r="F243" s="79"/>
      <c r="G243" s="79" t="s">
        <v>290</v>
      </c>
      <c r="H243" s="79"/>
      <c r="I243" s="79"/>
      <c r="J243" s="79"/>
      <c r="K243" s="79"/>
      <c r="L243" s="79" t="s">
        <v>927</v>
      </c>
      <c r="M243" s="79"/>
      <c r="N243" s="81">
        <v>2000</v>
      </c>
      <c r="O243" s="170"/>
      <c r="P243" s="79"/>
      <c r="Q243" s="82"/>
      <c r="R243" s="81"/>
    </row>
    <row r="244" spans="2:18" ht="23.25" customHeight="1">
      <c r="B244" s="79" t="s">
        <v>949</v>
      </c>
      <c r="C244" s="79"/>
      <c r="D244" s="79"/>
      <c r="E244" s="79"/>
      <c r="F244" s="79"/>
      <c r="G244" s="79" t="s">
        <v>290</v>
      </c>
      <c r="H244" s="79"/>
      <c r="I244" s="79"/>
      <c r="J244" s="79"/>
      <c r="K244" s="79"/>
      <c r="L244" s="79" t="s">
        <v>927</v>
      </c>
      <c r="M244" s="79"/>
      <c r="N244" s="81">
        <v>7000</v>
      </c>
      <c r="O244" s="170"/>
      <c r="P244" s="79"/>
      <c r="Q244" s="82"/>
      <c r="R244" s="81"/>
    </row>
    <row r="245" spans="2:18" ht="23.25" customHeight="1">
      <c r="B245" s="79" t="s">
        <v>950</v>
      </c>
      <c r="C245" s="79"/>
      <c r="D245" s="79"/>
      <c r="E245" s="79"/>
      <c r="F245" s="79"/>
      <c r="G245" s="79" t="s">
        <v>290</v>
      </c>
      <c r="H245" s="79"/>
      <c r="I245" s="79"/>
      <c r="J245" s="79"/>
      <c r="K245" s="79"/>
      <c r="L245" s="79" t="s">
        <v>927</v>
      </c>
      <c r="M245" s="79"/>
      <c r="N245" s="81">
        <v>8000</v>
      </c>
      <c r="O245" s="170"/>
      <c r="P245" s="79"/>
      <c r="Q245" s="82"/>
      <c r="R245" s="81"/>
    </row>
    <row r="246" spans="2:18" ht="23.25" customHeight="1">
      <c r="B246" s="79" t="s">
        <v>951</v>
      </c>
      <c r="C246" s="79"/>
      <c r="D246" s="79"/>
      <c r="E246" s="79"/>
      <c r="F246" s="79"/>
      <c r="G246" s="79" t="s">
        <v>290</v>
      </c>
      <c r="H246" s="79"/>
      <c r="I246" s="79"/>
      <c r="J246" s="79"/>
      <c r="K246" s="79"/>
      <c r="L246" s="79" t="s">
        <v>808</v>
      </c>
      <c r="M246" s="79"/>
      <c r="N246" s="81">
        <v>61875</v>
      </c>
      <c r="O246" s="170"/>
      <c r="P246" s="79"/>
      <c r="Q246" s="82"/>
      <c r="R246" s="81"/>
    </row>
    <row r="247" spans="2:18" ht="23.25" customHeight="1">
      <c r="B247" s="182" t="s">
        <v>952</v>
      </c>
      <c r="C247" s="182"/>
      <c r="D247" s="182"/>
      <c r="E247" s="182"/>
      <c r="F247" s="182"/>
      <c r="G247" s="182" t="s">
        <v>290</v>
      </c>
      <c r="H247" s="182"/>
      <c r="I247" s="182"/>
      <c r="J247" s="182"/>
      <c r="K247" s="182"/>
      <c r="L247" s="182" t="s">
        <v>808</v>
      </c>
      <c r="M247" s="182"/>
      <c r="N247" s="183">
        <v>-52000</v>
      </c>
      <c r="O247" s="171"/>
      <c r="P247" s="182"/>
      <c r="Q247" s="184"/>
      <c r="R247" s="183"/>
    </row>
    <row r="248" spans="2:18" ht="23.25" customHeight="1">
      <c r="B248" s="182" t="s">
        <v>953</v>
      </c>
      <c r="C248" s="182"/>
      <c r="D248" s="182"/>
      <c r="E248" s="182"/>
      <c r="F248" s="182"/>
      <c r="G248" s="182" t="s">
        <v>290</v>
      </c>
      <c r="H248" s="182"/>
      <c r="I248" s="182"/>
      <c r="J248" s="182"/>
      <c r="K248" s="182"/>
      <c r="L248" s="182" t="s">
        <v>808</v>
      </c>
      <c r="M248" s="182"/>
      <c r="N248" s="183">
        <v>-190000</v>
      </c>
      <c r="O248" s="171"/>
      <c r="P248" s="182"/>
      <c r="Q248" s="184"/>
      <c r="R248" s="183"/>
    </row>
    <row r="249" spans="2:18" ht="23.25" customHeight="1"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81"/>
      <c r="O249" s="170"/>
      <c r="P249" s="79"/>
      <c r="Q249" s="82"/>
      <c r="R249" s="81"/>
    </row>
    <row r="250" spans="2:18" ht="23.25" customHeight="1"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81"/>
      <c r="O250" s="170"/>
      <c r="P250" s="79"/>
      <c r="Q250" s="82"/>
      <c r="R250" s="81"/>
    </row>
    <row r="251" spans="2:18" ht="23.25" customHeight="1">
      <c r="B251" s="1158" t="s">
        <v>306</v>
      </c>
      <c r="C251" s="1159"/>
      <c r="D251" s="1159"/>
      <c r="E251" s="1159"/>
      <c r="F251" s="1159"/>
      <c r="G251" s="1159"/>
      <c r="H251" s="1159"/>
      <c r="I251" s="1159"/>
      <c r="J251" s="1159"/>
      <c r="K251" s="1159"/>
      <c r="L251" s="1160"/>
      <c r="M251" s="185"/>
      <c r="N251" s="186">
        <f>SUM(N5:N250)</f>
        <v>165691431.75</v>
      </c>
      <c r="O251" s="185"/>
      <c r="P251" s="185"/>
      <c r="Q251" s="187">
        <f>SUM(Q5:Q220)</f>
        <v>154748431.75</v>
      </c>
      <c r="R251" s="185"/>
    </row>
    <row r="252" spans="2:18" ht="23.25" customHeight="1">
      <c r="N252" s="172">
        <v>165630181</v>
      </c>
    </row>
    <row r="253" spans="2:18" ht="23.25" customHeight="1">
      <c r="N253" s="188">
        <f>N251-N252</f>
        <v>61250.75</v>
      </c>
    </row>
  </sheetData>
  <mergeCells count="1">
    <mergeCell ref="B251:L25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O57"/>
  <sheetViews>
    <sheetView zoomScale="80" zoomScaleNormal="80" workbookViewId="0">
      <pane ySplit="7" topLeftCell="A17" activePane="bottomLeft" state="frozen"/>
      <selection activeCell="A7" sqref="A7"/>
      <selection pane="bottomLeft" activeCell="F24" sqref="F24:G24"/>
    </sheetView>
  </sheetViews>
  <sheetFormatPr defaultColWidth="9.125" defaultRowHeight="21"/>
  <cols>
    <col min="1" max="2" width="9.125" style="71"/>
    <col min="3" max="3" width="8.75" style="71" customWidth="1"/>
    <col min="4" max="5" width="18.375" style="71" customWidth="1"/>
    <col min="6" max="6" width="22.5" style="71" bestFit="1" customWidth="1"/>
    <col min="7" max="7" width="22.625" style="71" bestFit="1" customWidth="1"/>
    <col min="8" max="8" width="12.375" style="71" bestFit="1" customWidth="1"/>
    <col min="9" max="11" width="13.25" style="71" customWidth="1"/>
    <col min="12" max="12" width="18.125" style="381" customWidth="1"/>
    <col min="13" max="14" width="12.375" style="71" bestFit="1" customWidth="1"/>
    <col min="15" max="15" width="9.375" style="71" bestFit="1" customWidth="1"/>
    <col min="16" max="16384" width="9.125" style="71"/>
  </cols>
  <sheetData>
    <row r="2" spans="3:15">
      <c r="C2" s="1161"/>
      <c r="D2" s="1161"/>
      <c r="E2" s="1161"/>
      <c r="F2" s="1161"/>
      <c r="G2" s="1161"/>
      <c r="H2" s="189"/>
    </row>
    <row r="4" spans="3:15" ht="84">
      <c r="C4" s="1162" t="s">
        <v>128</v>
      </c>
      <c r="D4" s="1163" t="s">
        <v>220</v>
      </c>
      <c r="E4" s="141" t="s">
        <v>126</v>
      </c>
      <c r="F4" s="1164" t="s">
        <v>133</v>
      </c>
      <c r="G4" s="1164"/>
      <c r="H4" s="1165"/>
      <c r="I4" s="1166"/>
      <c r="J4" s="1166"/>
      <c r="K4" s="1167"/>
      <c r="L4" s="517"/>
    </row>
    <row r="5" spans="3:15">
      <c r="C5" s="1162"/>
      <c r="D5" s="1163"/>
      <c r="E5" s="142" t="s">
        <v>138</v>
      </c>
      <c r="F5" s="1174" t="s">
        <v>134</v>
      </c>
      <c r="G5" s="1175"/>
      <c r="H5" s="1168"/>
      <c r="I5" s="1169"/>
      <c r="J5" s="1169"/>
      <c r="K5" s="1170"/>
      <c r="L5" s="517"/>
    </row>
    <row r="6" spans="3:15" ht="105">
      <c r="C6" s="1162"/>
      <c r="D6" s="1163"/>
      <c r="E6" s="143" t="s">
        <v>129</v>
      </c>
      <c r="F6" s="143" t="s">
        <v>132</v>
      </c>
      <c r="G6" s="144" t="s">
        <v>131</v>
      </c>
      <c r="H6" s="1171"/>
      <c r="I6" s="1172"/>
      <c r="J6" s="1172"/>
      <c r="K6" s="1173"/>
      <c r="L6" s="517"/>
    </row>
    <row r="7" spans="3:15">
      <c r="C7" s="1162"/>
      <c r="D7" s="1163"/>
      <c r="E7" s="145" t="s">
        <v>139</v>
      </c>
      <c r="F7" s="145" t="s">
        <v>136</v>
      </c>
      <c r="G7" s="145" t="s">
        <v>135</v>
      </c>
      <c r="H7" s="451" t="s">
        <v>1275</v>
      </c>
      <c r="I7" s="203" t="s">
        <v>972</v>
      </c>
      <c r="J7" s="203" t="s">
        <v>1033</v>
      </c>
      <c r="K7" s="203" t="s">
        <v>63</v>
      </c>
      <c r="L7" s="518"/>
      <c r="M7" s="71" t="s">
        <v>1254</v>
      </c>
    </row>
    <row r="8" spans="3:15">
      <c r="C8" s="136">
        <v>1</v>
      </c>
      <c r="D8" s="137" t="s">
        <v>14</v>
      </c>
      <c r="E8" s="82">
        <v>50000</v>
      </c>
      <c r="F8" s="82"/>
      <c r="G8" s="82"/>
      <c r="H8" s="82">
        <f>SUM(E8:G8)</f>
        <v>50000</v>
      </c>
      <c r="I8" s="82">
        <f>'fix cost'!K32</f>
        <v>49945.97</v>
      </c>
      <c r="J8" s="82"/>
      <c r="K8" s="181">
        <f>H8-I8-J8</f>
        <v>54.029999999998836</v>
      </c>
      <c r="L8" s="181"/>
      <c r="M8" s="238">
        <f>SUM(I8:I20)+3547.57+3500</f>
        <v>654561.48</v>
      </c>
      <c r="N8" s="188">
        <f>I8+J8</f>
        <v>49945.97</v>
      </c>
      <c r="O8" s="379">
        <f>N8*100/H8</f>
        <v>99.891940000000005</v>
      </c>
    </row>
    <row r="9" spans="3:15">
      <c r="C9" s="136">
        <v>2</v>
      </c>
      <c r="D9" s="138" t="s">
        <v>221</v>
      </c>
      <c r="E9" s="82">
        <v>50000</v>
      </c>
      <c r="F9" s="82"/>
      <c r="G9" s="82"/>
      <c r="H9" s="82">
        <f t="shared" ref="H9:H23" si="0">SUM(E9:G9)</f>
        <v>50000</v>
      </c>
      <c r="I9" s="82">
        <f>'fix cost'!EP32</f>
        <v>49818.81</v>
      </c>
      <c r="J9" s="82"/>
      <c r="K9" s="181">
        <f t="shared" ref="K9:K23" si="1">H9-I9-J9</f>
        <v>181.19000000000233</v>
      </c>
      <c r="L9" s="181"/>
      <c r="M9" s="79"/>
      <c r="N9" s="188">
        <f t="shared" ref="N9:N23" si="2">I9+J9</f>
        <v>49818.81</v>
      </c>
      <c r="O9" s="379">
        <f t="shared" ref="O9:O23" si="3">N9*100/H9</f>
        <v>99.637619999999998</v>
      </c>
    </row>
    <row r="10" spans="3:15">
      <c r="C10" s="136">
        <v>3</v>
      </c>
      <c r="D10" s="138" t="s">
        <v>222</v>
      </c>
      <c r="E10" s="82">
        <v>50000</v>
      </c>
      <c r="F10" s="82"/>
      <c r="G10" s="82"/>
      <c r="H10" s="82">
        <f t="shared" si="0"/>
        <v>50000</v>
      </c>
      <c r="I10" s="82">
        <f>'fix cost'!AF32</f>
        <v>49994.05</v>
      </c>
      <c r="J10" s="82"/>
      <c r="K10" s="580">
        <f t="shared" si="1"/>
        <v>5.9499999999970896</v>
      </c>
      <c r="L10" s="181"/>
      <c r="M10" s="79"/>
      <c r="N10" s="188">
        <f t="shared" si="2"/>
        <v>49994.05</v>
      </c>
      <c r="O10" s="379">
        <f t="shared" si="3"/>
        <v>99.988100000000003</v>
      </c>
    </row>
    <row r="11" spans="3:15">
      <c r="C11" s="136">
        <v>4</v>
      </c>
      <c r="D11" s="138" t="s">
        <v>223</v>
      </c>
      <c r="E11" s="82">
        <v>50000</v>
      </c>
      <c r="F11" s="82"/>
      <c r="G11" s="82"/>
      <c r="H11" s="82">
        <f t="shared" si="0"/>
        <v>50000</v>
      </c>
      <c r="I11" s="82">
        <f>'fix cost'!HN32</f>
        <v>49996.97</v>
      </c>
      <c r="J11" s="82"/>
      <c r="K11" s="580">
        <f t="shared" si="1"/>
        <v>3.0299999999988358</v>
      </c>
      <c r="L11" s="181"/>
      <c r="M11" s="79"/>
      <c r="N11" s="188">
        <f t="shared" si="2"/>
        <v>49996.97</v>
      </c>
      <c r="O11" s="379">
        <f t="shared" si="3"/>
        <v>99.993939999999995</v>
      </c>
    </row>
    <row r="12" spans="3:15">
      <c r="C12" s="136">
        <v>5</v>
      </c>
      <c r="D12" s="138" t="s">
        <v>224</v>
      </c>
      <c r="E12" s="82">
        <v>50000</v>
      </c>
      <c r="F12" s="82"/>
      <c r="G12" s="82"/>
      <c r="H12" s="82">
        <f t="shared" si="0"/>
        <v>50000</v>
      </c>
      <c r="I12" s="82">
        <f>'fix cost'!GB32</f>
        <v>49964.15</v>
      </c>
      <c r="J12" s="82">
        <v>0</v>
      </c>
      <c r="K12" s="580">
        <f t="shared" si="1"/>
        <v>35.849999999998545</v>
      </c>
      <c r="L12" s="181"/>
      <c r="M12" s="79"/>
      <c r="N12" s="188">
        <f t="shared" si="2"/>
        <v>49964.15</v>
      </c>
      <c r="O12" s="379">
        <f t="shared" si="3"/>
        <v>99.928299999999993</v>
      </c>
    </row>
    <row r="13" spans="3:15">
      <c r="C13" s="136">
        <v>6</v>
      </c>
      <c r="D13" s="138" t="s">
        <v>225</v>
      </c>
      <c r="E13" s="82">
        <v>50000</v>
      </c>
      <c r="F13" s="82"/>
      <c r="G13" s="82"/>
      <c r="H13" s="82">
        <f t="shared" si="0"/>
        <v>50000</v>
      </c>
      <c r="I13" s="82">
        <f>'fix cost'!AY32</f>
        <v>49626.22</v>
      </c>
      <c r="J13" s="82">
        <v>0</v>
      </c>
      <c r="K13" s="181">
        <f t="shared" si="1"/>
        <v>373.77999999999884</v>
      </c>
      <c r="L13" s="181"/>
      <c r="M13" s="79"/>
      <c r="N13" s="188">
        <f t="shared" si="2"/>
        <v>49626.22</v>
      </c>
      <c r="O13" s="379">
        <f t="shared" si="3"/>
        <v>99.252440000000007</v>
      </c>
    </row>
    <row r="14" spans="3:15">
      <c r="C14" s="136">
        <v>7</v>
      </c>
      <c r="D14" s="138" t="s">
        <v>226</v>
      </c>
      <c r="E14" s="82">
        <v>50000</v>
      </c>
      <c r="F14" s="82"/>
      <c r="G14" s="82"/>
      <c r="H14" s="82">
        <f t="shared" si="0"/>
        <v>50000</v>
      </c>
      <c r="I14" s="82">
        <f>'fix cost'!BR32</f>
        <v>49963.53</v>
      </c>
      <c r="J14" s="82"/>
      <c r="K14" s="181">
        <f t="shared" si="1"/>
        <v>36.470000000001164</v>
      </c>
      <c r="L14" s="181"/>
      <c r="M14" s="79"/>
      <c r="N14" s="188">
        <f t="shared" si="2"/>
        <v>49963.53</v>
      </c>
      <c r="O14" s="379">
        <f t="shared" si="3"/>
        <v>99.927059999999997</v>
      </c>
    </row>
    <row r="15" spans="3:15">
      <c r="C15" s="136">
        <v>8</v>
      </c>
      <c r="D15" s="138" t="s">
        <v>227</v>
      </c>
      <c r="E15" s="82">
        <v>50000</v>
      </c>
      <c r="F15" s="82"/>
      <c r="G15" s="82"/>
      <c r="H15" s="82">
        <f t="shared" si="0"/>
        <v>50000</v>
      </c>
      <c r="I15" s="82">
        <f>'fix cost'!IG32</f>
        <v>49418.58</v>
      </c>
      <c r="J15" s="82"/>
      <c r="K15" s="181">
        <f t="shared" si="1"/>
        <v>581.41999999999825</v>
      </c>
      <c r="L15" s="181"/>
      <c r="M15" s="79"/>
      <c r="N15" s="188">
        <f t="shared" si="2"/>
        <v>49418.58</v>
      </c>
      <c r="O15" s="379">
        <f t="shared" si="3"/>
        <v>98.837159999999997</v>
      </c>
    </row>
    <row r="16" spans="3:15">
      <c r="C16" s="136">
        <v>9</v>
      </c>
      <c r="D16" s="138" t="s">
        <v>228</v>
      </c>
      <c r="E16" s="82">
        <v>50000</v>
      </c>
      <c r="F16" s="82"/>
      <c r="G16" s="82"/>
      <c r="H16" s="82">
        <f t="shared" si="0"/>
        <v>50000</v>
      </c>
      <c r="I16" s="82">
        <f>'fix cost'!CK32</f>
        <v>50000</v>
      </c>
      <c r="J16" s="82">
        <v>0</v>
      </c>
      <c r="K16" s="181">
        <f t="shared" si="1"/>
        <v>0</v>
      </c>
      <c r="L16" s="181"/>
      <c r="M16" s="79"/>
      <c r="N16" s="188">
        <f t="shared" si="2"/>
        <v>50000</v>
      </c>
      <c r="O16" s="379">
        <f t="shared" si="3"/>
        <v>100</v>
      </c>
    </row>
    <row r="17" spans="3:15">
      <c r="C17" s="136">
        <v>10</v>
      </c>
      <c r="D17" s="138" t="s">
        <v>229</v>
      </c>
      <c r="E17" s="82">
        <v>50000</v>
      </c>
      <c r="F17" s="82"/>
      <c r="G17" s="82"/>
      <c r="H17" s="82">
        <f t="shared" si="0"/>
        <v>50000</v>
      </c>
      <c r="I17" s="82">
        <f>'fix cost'!DD32</f>
        <v>50000</v>
      </c>
      <c r="J17" s="82"/>
      <c r="K17" s="181">
        <f t="shared" si="1"/>
        <v>0</v>
      </c>
      <c r="L17" s="181"/>
      <c r="M17" s="79"/>
      <c r="N17" s="188">
        <f t="shared" si="2"/>
        <v>50000</v>
      </c>
      <c r="O17" s="379">
        <f t="shared" si="3"/>
        <v>100</v>
      </c>
    </row>
    <row r="18" spans="3:15">
      <c r="C18" s="136">
        <v>11</v>
      </c>
      <c r="D18" s="138" t="s">
        <v>230</v>
      </c>
      <c r="E18" s="82">
        <v>50000</v>
      </c>
      <c r="F18" s="82"/>
      <c r="G18" s="82"/>
      <c r="H18" s="82">
        <f t="shared" si="0"/>
        <v>50000</v>
      </c>
      <c r="I18" s="82">
        <f>'fix cost'!IZ32</f>
        <v>48820.520000000004</v>
      </c>
      <c r="J18" s="82"/>
      <c r="K18" s="187">
        <f t="shared" si="1"/>
        <v>1179.4799999999959</v>
      </c>
      <c r="L18" s="181"/>
      <c r="M18" s="79"/>
      <c r="N18" s="188">
        <f t="shared" si="2"/>
        <v>48820.520000000004</v>
      </c>
      <c r="O18" s="379">
        <f t="shared" si="3"/>
        <v>97.641040000000004</v>
      </c>
    </row>
    <row r="19" spans="3:15">
      <c r="C19" s="139">
        <v>12</v>
      </c>
      <c r="D19" s="140" t="s">
        <v>231</v>
      </c>
      <c r="E19" s="82">
        <v>50000</v>
      </c>
      <c r="F19" s="82"/>
      <c r="G19" s="82"/>
      <c r="H19" s="82">
        <f t="shared" si="0"/>
        <v>50000</v>
      </c>
      <c r="I19" s="82">
        <f>'fix cost'!DW32</f>
        <v>49979.270000000004</v>
      </c>
      <c r="J19" s="82"/>
      <c r="K19" s="181">
        <f t="shared" si="1"/>
        <v>20.729999999995925</v>
      </c>
      <c r="L19" s="181"/>
      <c r="M19" s="79"/>
      <c r="N19" s="188">
        <f t="shared" si="2"/>
        <v>49979.270000000004</v>
      </c>
      <c r="O19" s="379">
        <f t="shared" si="3"/>
        <v>99.958539999999999</v>
      </c>
    </row>
    <row r="20" spans="3:15" ht="21.75" customHeight="1">
      <c r="C20" s="136">
        <v>13</v>
      </c>
      <c r="D20" s="138" t="s">
        <v>232</v>
      </c>
      <c r="E20" s="82">
        <v>50000</v>
      </c>
      <c r="F20" s="82"/>
      <c r="G20" s="82"/>
      <c r="H20" s="82">
        <f t="shared" si="0"/>
        <v>50000</v>
      </c>
      <c r="I20" s="82">
        <f>'fix cost'!GU32</f>
        <v>49985.84</v>
      </c>
      <c r="J20" s="82"/>
      <c r="K20" s="181">
        <f t="shared" si="1"/>
        <v>14.160000000003492</v>
      </c>
      <c r="L20" s="181"/>
      <c r="M20" s="79"/>
      <c r="N20" s="188">
        <f t="shared" si="2"/>
        <v>49985.84</v>
      </c>
      <c r="O20" s="379">
        <f t="shared" si="3"/>
        <v>99.971680000000006</v>
      </c>
    </row>
    <row r="21" spans="3:15" s="381" customFormat="1">
      <c r="C21" s="511">
        <v>14</v>
      </c>
      <c r="D21" s="512" t="s">
        <v>233</v>
      </c>
      <c r="E21" s="181"/>
      <c r="F21" s="181">
        <v>50000</v>
      </c>
      <c r="G21" s="181"/>
      <c r="H21" s="181">
        <f t="shared" si="0"/>
        <v>50000</v>
      </c>
      <c r="I21" s="181">
        <f>'fix cost'!FI32</f>
        <v>50003.5</v>
      </c>
      <c r="J21" s="181"/>
      <c r="K21" s="580">
        <f>H21-I21-J21</f>
        <v>-3.5</v>
      </c>
      <c r="L21" s="181"/>
      <c r="M21" s="513">
        <f>SUM(I21:I22)-3547.57+10000</f>
        <v>106653.95</v>
      </c>
      <c r="N21" s="514">
        <f t="shared" si="2"/>
        <v>50003.5</v>
      </c>
      <c r="O21" s="515">
        <f t="shared" si="3"/>
        <v>100.00700000000001</v>
      </c>
    </row>
    <row r="22" spans="3:15" s="381" customFormat="1">
      <c r="C22" s="511">
        <v>15</v>
      </c>
      <c r="D22" s="512" t="s">
        <v>234</v>
      </c>
      <c r="E22" s="181"/>
      <c r="F22" s="181">
        <v>50000</v>
      </c>
      <c r="G22" s="181"/>
      <c r="H22" s="181">
        <f t="shared" si="0"/>
        <v>50000</v>
      </c>
      <c r="I22" s="181">
        <f>'fix cost'!JS32</f>
        <v>50198.020000000004</v>
      </c>
      <c r="J22" s="181"/>
      <c r="K22" s="580">
        <f t="shared" si="1"/>
        <v>-198.02000000000407</v>
      </c>
      <c r="L22" s="181"/>
      <c r="M22" s="516"/>
      <c r="N22" s="514">
        <f t="shared" si="2"/>
        <v>50198.020000000004</v>
      </c>
      <c r="O22" s="515">
        <f t="shared" si="3"/>
        <v>100.39604</v>
      </c>
    </row>
    <row r="23" spans="3:15" s="381" customFormat="1">
      <c r="C23" s="511">
        <v>16</v>
      </c>
      <c r="D23" s="512" t="s">
        <v>235</v>
      </c>
      <c r="E23" s="181"/>
      <c r="F23" s="181"/>
      <c r="G23" s="181">
        <v>50000</v>
      </c>
      <c r="H23" s="181">
        <f t="shared" si="0"/>
        <v>50000</v>
      </c>
      <c r="I23" s="181">
        <f>'fix cost'!KL32</f>
        <v>49999.960000000006</v>
      </c>
      <c r="J23" s="181"/>
      <c r="K23" s="181">
        <f t="shared" si="1"/>
        <v>3.9999999993597157E-2</v>
      </c>
      <c r="L23" s="181"/>
      <c r="M23" s="513">
        <f>SUM(I23)</f>
        <v>49999.960000000006</v>
      </c>
      <c r="N23" s="514">
        <f t="shared" si="2"/>
        <v>49999.960000000006</v>
      </c>
      <c r="O23" s="515">
        <f t="shared" si="3"/>
        <v>99.999920000000017</v>
      </c>
    </row>
    <row r="24" spans="3:15" s="243" customFormat="1">
      <c r="C24" s="146"/>
      <c r="D24" s="147" t="s">
        <v>66</v>
      </c>
      <c r="E24" s="148">
        <f t="shared" ref="E24:K24" si="4">SUM(E8:E23)</f>
        <v>650000</v>
      </c>
      <c r="F24" s="148">
        <f t="shared" si="4"/>
        <v>100000</v>
      </c>
      <c r="G24" s="148">
        <f t="shared" si="4"/>
        <v>50000</v>
      </c>
      <c r="H24" s="148">
        <f>SUM(H8:H23)</f>
        <v>800000</v>
      </c>
      <c r="I24" s="148">
        <f>SUM(I8:I23)</f>
        <v>797715.39</v>
      </c>
      <c r="J24" s="148">
        <f t="shared" si="4"/>
        <v>0</v>
      </c>
      <c r="K24" s="148">
        <f t="shared" si="4"/>
        <v>2284.6099999999788</v>
      </c>
      <c r="L24" s="247"/>
      <c r="N24" s="188">
        <f>I24+J24</f>
        <v>797715.39</v>
      </c>
      <c r="O24" s="379">
        <f t="shared" ref="O24" si="5">N24*100/H24</f>
        <v>99.714423749999995</v>
      </c>
    </row>
    <row r="25" spans="3:15" s="243" customFormat="1">
      <c r="C25" s="246"/>
      <c r="D25" s="242"/>
      <c r="E25" s="247" t="s">
        <v>138</v>
      </c>
      <c r="F25" s="247" t="s">
        <v>134</v>
      </c>
      <c r="G25" s="247" t="s">
        <v>134</v>
      </c>
      <c r="H25" s="247"/>
      <c r="I25" s="247" t="e">
        <f>I24-'fix cost'!Q53</f>
        <v>#REF!</v>
      </c>
      <c r="J25" s="247"/>
      <c r="K25" s="247"/>
      <c r="L25" s="247"/>
    </row>
    <row r="26" spans="3:15" s="243" customFormat="1">
      <c r="C26" s="246"/>
      <c r="D26" s="242"/>
      <c r="E26" s="247" t="s">
        <v>139</v>
      </c>
      <c r="F26" s="247" t="s">
        <v>136</v>
      </c>
      <c r="G26" s="247" t="s">
        <v>135</v>
      </c>
      <c r="H26" s="247"/>
      <c r="I26" s="247"/>
      <c r="J26" s="247"/>
      <c r="K26" s="247"/>
      <c r="L26" s="247"/>
    </row>
    <row r="27" spans="3:15" s="243" customFormat="1">
      <c r="C27" s="246"/>
      <c r="D27" s="242"/>
      <c r="E27" s="247"/>
      <c r="F27" s="247"/>
      <c r="G27" s="247"/>
      <c r="H27" s="247"/>
      <c r="I27" s="247"/>
      <c r="J27" s="247"/>
      <c r="K27" s="247"/>
      <c r="L27" s="247"/>
    </row>
    <row r="28" spans="3:15" s="243" customFormat="1">
      <c r="C28" s="246"/>
      <c r="D28" s="242"/>
      <c r="E28" s="247"/>
      <c r="F28" s="247"/>
      <c r="G28" s="247"/>
      <c r="H28" s="247"/>
      <c r="I28" s="247"/>
      <c r="J28" s="247"/>
      <c r="K28" s="247"/>
      <c r="L28" s="247"/>
    </row>
    <row r="29" spans="3:15" s="243" customFormat="1">
      <c r="C29" s="246"/>
      <c r="D29" s="242"/>
      <c r="E29" s="181"/>
      <c r="F29" s="181" t="s">
        <v>1000</v>
      </c>
      <c r="G29" s="181" t="s">
        <v>235</v>
      </c>
      <c r="H29" s="247"/>
      <c r="I29" s="247"/>
      <c r="J29" s="247"/>
      <c r="K29" s="247"/>
      <c r="L29" s="247"/>
    </row>
    <row r="30" spans="3:15" s="243" customFormat="1">
      <c r="E30" s="244" t="s">
        <v>138</v>
      </c>
      <c r="F30" s="543" t="s">
        <v>134</v>
      </c>
      <c r="G30" s="245" t="s">
        <v>134</v>
      </c>
      <c r="H30" s="257"/>
      <c r="L30" s="519"/>
    </row>
    <row r="31" spans="3:15">
      <c r="E31" s="145" t="s">
        <v>139</v>
      </c>
      <c r="F31" s="544" t="s">
        <v>136</v>
      </c>
      <c r="G31" s="145" t="s">
        <v>135</v>
      </c>
      <c r="H31" s="258"/>
    </row>
    <row r="32" spans="3:15">
      <c r="E32" s="248" t="s">
        <v>138</v>
      </c>
      <c r="F32" s="545" t="s">
        <v>134</v>
      </c>
      <c r="G32" s="249" t="s">
        <v>134</v>
      </c>
      <c r="H32" s="259"/>
    </row>
    <row r="33" spans="5:10">
      <c r="E33" s="153" t="s">
        <v>139</v>
      </c>
      <c r="F33" s="544" t="s">
        <v>136</v>
      </c>
      <c r="G33" s="153" t="s">
        <v>135</v>
      </c>
      <c r="H33" s="260"/>
    </row>
    <row r="34" spans="5:10">
      <c r="E34" s="142" t="s">
        <v>138</v>
      </c>
      <c r="F34" s="545" t="s">
        <v>134</v>
      </c>
      <c r="G34" s="144" t="s">
        <v>134</v>
      </c>
      <c r="H34" s="257"/>
      <c r="J34" s="71" t="s">
        <v>1383</v>
      </c>
    </row>
    <row r="35" spans="5:10">
      <c r="E35" s="145" t="s">
        <v>139</v>
      </c>
      <c r="F35" s="544" t="s">
        <v>136</v>
      </c>
      <c r="G35" s="145" t="s">
        <v>135</v>
      </c>
      <c r="H35" s="258"/>
    </row>
    <row r="36" spans="5:10">
      <c r="E36" s="248" t="s">
        <v>138</v>
      </c>
      <c r="F36" s="545" t="s">
        <v>134</v>
      </c>
      <c r="G36" s="249" t="s">
        <v>134</v>
      </c>
      <c r="H36" s="259"/>
    </row>
    <row r="37" spans="5:10">
      <c r="E37" s="153" t="s">
        <v>139</v>
      </c>
      <c r="F37" s="544" t="s">
        <v>136</v>
      </c>
      <c r="G37" s="153" t="s">
        <v>135</v>
      </c>
      <c r="H37" s="260"/>
    </row>
    <row r="38" spans="5:10">
      <c r="E38" s="142" t="s">
        <v>138</v>
      </c>
      <c r="F38" s="545" t="s">
        <v>134</v>
      </c>
      <c r="G38" s="144" t="s">
        <v>134</v>
      </c>
      <c r="H38" s="257"/>
    </row>
    <row r="39" spans="5:10">
      <c r="E39" s="145" t="s">
        <v>139</v>
      </c>
      <c r="F39" s="544" t="s">
        <v>136</v>
      </c>
      <c r="G39" s="145" t="s">
        <v>135</v>
      </c>
      <c r="H39" s="258"/>
    </row>
    <row r="40" spans="5:10">
      <c r="E40" s="248" t="s">
        <v>138</v>
      </c>
      <c r="F40" s="545" t="s">
        <v>134</v>
      </c>
      <c r="G40" s="249" t="s">
        <v>134</v>
      </c>
      <c r="H40" s="259"/>
    </row>
    <row r="41" spans="5:10">
      <c r="E41" s="153" t="s">
        <v>139</v>
      </c>
      <c r="F41" s="544" t="s">
        <v>136</v>
      </c>
      <c r="G41" s="153" t="s">
        <v>135</v>
      </c>
      <c r="H41" s="260"/>
    </row>
    <row r="42" spans="5:10">
      <c r="E42" s="142" t="s">
        <v>138</v>
      </c>
      <c r="F42" s="545" t="s">
        <v>134</v>
      </c>
      <c r="G42" s="144" t="s">
        <v>134</v>
      </c>
      <c r="H42" s="257"/>
    </row>
    <row r="43" spans="5:10">
      <c r="E43" s="145" t="s">
        <v>139</v>
      </c>
      <c r="F43" s="544" t="s">
        <v>136</v>
      </c>
      <c r="G43" s="145" t="s">
        <v>135</v>
      </c>
      <c r="H43" s="258"/>
    </row>
    <row r="44" spans="5:10">
      <c r="E44" s="248" t="s">
        <v>138</v>
      </c>
      <c r="F44" s="545" t="s">
        <v>134</v>
      </c>
      <c r="G44" s="249" t="s">
        <v>134</v>
      </c>
      <c r="H44" s="259"/>
    </row>
    <row r="45" spans="5:10">
      <c r="E45" s="153" t="s">
        <v>139</v>
      </c>
      <c r="F45" s="544" t="s">
        <v>136</v>
      </c>
      <c r="G45" s="153" t="s">
        <v>135</v>
      </c>
      <c r="H45" s="260"/>
    </row>
    <row r="46" spans="5:10">
      <c r="E46" s="142" t="s">
        <v>138</v>
      </c>
      <c r="F46" s="545" t="s">
        <v>134</v>
      </c>
      <c r="G46" s="144" t="s">
        <v>134</v>
      </c>
      <c r="H46" s="257"/>
    </row>
    <row r="47" spans="5:10">
      <c r="E47" s="145" t="s">
        <v>139</v>
      </c>
      <c r="F47" s="544" t="s">
        <v>136</v>
      </c>
      <c r="G47" s="145" t="s">
        <v>135</v>
      </c>
      <c r="H47" s="258"/>
    </row>
    <row r="48" spans="5:10">
      <c r="E48" s="248" t="s">
        <v>138</v>
      </c>
      <c r="F48" s="545" t="s">
        <v>134</v>
      </c>
      <c r="G48" s="249" t="s">
        <v>134</v>
      </c>
      <c r="H48" s="259"/>
    </row>
    <row r="49" spans="5:8">
      <c r="E49" s="153" t="s">
        <v>139</v>
      </c>
      <c r="F49" s="544" t="s">
        <v>136</v>
      </c>
      <c r="G49" s="153" t="s">
        <v>135</v>
      </c>
      <c r="H49" s="260"/>
    </row>
    <row r="50" spans="5:8">
      <c r="E50" s="142" t="s">
        <v>138</v>
      </c>
      <c r="F50" s="545" t="s">
        <v>134</v>
      </c>
      <c r="G50" s="144" t="s">
        <v>134</v>
      </c>
      <c r="H50" s="257"/>
    </row>
    <row r="51" spans="5:8">
      <c r="E51" s="145" t="s">
        <v>139</v>
      </c>
      <c r="F51" s="544" t="s">
        <v>136</v>
      </c>
      <c r="G51" s="145" t="s">
        <v>135</v>
      </c>
      <c r="H51" s="258"/>
    </row>
    <row r="52" spans="5:8">
      <c r="E52" s="248" t="s">
        <v>138</v>
      </c>
      <c r="F52" s="545" t="s">
        <v>134</v>
      </c>
      <c r="G52" s="249" t="s">
        <v>134</v>
      </c>
      <c r="H52" s="259"/>
    </row>
    <row r="53" spans="5:8">
      <c r="E53" s="153" t="s">
        <v>139</v>
      </c>
      <c r="F53" s="544" t="s">
        <v>136</v>
      </c>
      <c r="G53" s="153" t="s">
        <v>135</v>
      </c>
      <c r="H53" s="260"/>
    </row>
    <row r="54" spans="5:8">
      <c r="E54" s="142" t="s">
        <v>138</v>
      </c>
      <c r="F54" s="545" t="s">
        <v>134</v>
      </c>
      <c r="G54" s="144" t="s">
        <v>134</v>
      </c>
      <c r="H54" s="257"/>
    </row>
    <row r="55" spans="5:8">
      <c r="E55" s="145" t="s">
        <v>139</v>
      </c>
      <c r="F55" s="544" t="s">
        <v>136</v>
      </c>
      <c r="G55" s="145" t="s">
        <v>135</v>
      </c>
      <c r="H55" s="258"/>
    </row>
    <row r="56" spans="5:8">
      <c r="E56" s="248" t="s">
        <v>138</v>
      </c>
      <c r="F56" s="545" t="s">
        <v>134</v>
      </c>
      <c r="G56" s="249" t="s">
        <v>134</v>
      </c>
      <c r="H56" s="259"/>
    </row>
    <row r="57" spans="5:8">
      <c r="E57" s="153" t="s">
        <v>139</v>
      </c>
      <c r="F57" s="544" t="s">
        <v>136</v>
      </c>
      <c r="G57" s="153" t="s">
        <v>135</v>
      </c>
      <c r="H57" s="260"/>
    </row>
  </sheetData>
  <mergeCells count="6">
    <mergeCell ref="C2:G2"/>
    <mergeCell ref="C4:C7"/>
    <mergeCell ref="D4:D7"/>
    <mergeCell ref="F4:G4"/>
    <mergeCell ref="H4:K6"/>
    <mergeCell ref="F5:G5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F60"/>
  <sheetViews>
    <sheetView zoomScale="80" zoomScaleNormal="80" workbookViewId="0">
      <pane xSplit="1" topLeftCell="J1" activePane="topRight" state="frozen"/>
      <selection pane="topRight" activeCell="N48" sqref="N48"/>
    </sheetView>
  </sheetViews>
  <sheetFormatPr defaultColWidth="9" defaultRowHeight="15"/>
  <cols>
    <col min="1" max="1" width="4.625" style="236" customWidth="1"/>
    <col min="2" max="2" width="8" style="236" bestFit="1" customWidth="1"/>
    <col min="3" max="4" width="12.375" style="236" bestFit="1" customWidth="1"/>
    <col min="5" max="6" width="11.25" style="236" bestFit="1" customWidth="1"/>
    <col min="7" max="7" width="11.75" style="236" bestFit="1" customWidth="1"/>
    <col min="8" max="9" width="12.375" style="236" bestFit="1" customWidth="1"/>
    <col min="10" max="10" width="11.75" style="236" customWidth="1"/>
    <col min="11" max="11" width="13.125" style="236" bestFit="1" customWidth="1"/>
    <col min="12" max="12" width="12.25" style="236" bestFit="1" customWidth="1"/>
    <col min="13" max="13" width="12.375" style="236" bestFit="1" customWidth="1"/>
    <col min="14" max="14" width="12.25" style="236" customWidth="1"/>
    <col min="15" max="15" width="12.375" style="236" bestFit="1" customWidth="1"/>
    <col min="16" max="16" width="12.25" style="236" bestFit="1" customWidth="1"/>
    <col min="17" max="17" width="14.125" style="236" bestFit="1" customWidth="1"/>
    <col min="18" max="18" width="6.375" style="236" bestFit="1" customWidth="1"/>
    <col min="19" max="19" width="11.875" style="236" bestFit="1" customWidth="1"/>
    <col min="20" max="20" width="6.375" style="236" bestFit="1" customWidth="1"/>
    <col min="21" max="21" width="2.75" style="236" customWidth="1"/>
    <col min="22" max="22" width="10.125" style="236" bestFit="1" customWidth="1"/>
    <col min="23" max="23" width="6.375" style="236" bestFit="1" customWidth="1"/>
    <col min="24" max="24" width="11.25" style="236" bestFit="1" customWidth="1"/>
    <col min="25" max="25" width="8.125" style="236" customWidth="1"/>
    <col min="26" max="26" width="8.75" style="236" bestFit="1" customWidth="1"/>
    <col min="27" max="27" width="6.375" style="236" bestFit="1" customWidth="1"/>
    <col min="28" max="28" width="10.125" style="236" bestFit="1" customWidth="1"/>
    <col min="29" max="29" width="7.875" style="236" customWidth="1"/>
    <col min="30" max="30" width="10.375" style="236" bestFit="1" customWidth="1"/>
    <col min="31" max="31" width="9.25" style="236" bestFit="1" customWidth="1"/>
    <col min="32" max="32" width="14.125" style="236" customWidth="1"/>
    <col min="33" max="33" width="7.375" style="236" customWidth="1"/>
    <col min="34" max="34" width="9.875" style="236" bestFit="1" customWidth="1"/>
    <col min="35" max="35" width="6.375" style="236" bestFit="1" customWidth="1"/>
    <col min="36" max="36" width="9.625" style="236" bestFit="1" customWidth="1"/>
    <col min="37" max="37" width="6.375" style="236" bestFit="1" customWidth="1"/>
    <col min="38" max="38" width="11.875" style="236" bestFit="1" customWidth="1"/>
    <col min="39" max="39" width="6.375" style="236" bestFit="1" customWidth="1"/>
    <col min="40" max="40" width="4" style="236" customWidth="1"/>
    <col min="41" max="41" width="9.875" style="236" customWidth="1"/>
    <col min="42" max="42" width="6.375" style="236" bestFit="1" customWidth="1"/>
    <col min="43" max="43" width="10.125" style="236" bestFit="1" customWidth="1"/>
    <col min="44" max="44" width="9" style="236"/>
    <col min="45" max="45" width="8.75" style="236" bestFit="1" customWidth="1"/>
    <col min="46" max="46" width="6.375" style="236" bestFit="1" customWidth="1"/>
    <col min="47" max="47" width="9.875" style="236" bestFit="1" customWidth="1"/>
    <col min="48" max="48" width="9.375" style="236" bestFit="1" customWidth="1"/>
    <col min="49" max="49" width="10.375" style="236" bestFit="1" customWidth="1"/>
    <col min="50" max="50" width="7.25" style="236" customWidth="1"/>
    <col min="51" max="51" width="11.875" style="236" bestFit="1" customWidth="1"/>
    <col min="52" max="52" width="6.375" style="236" bestFit="1" customWidth="1"/>
    <col min="53" max="53" width="10.125" style="236" bestFit="1" customWidth="1"/>
    <col min="54" max="54" width="7" style="236" customWidth="1"/>
    <col min="55" max="55" width="9.625" style="236" bestFit="1" customWidth="1"/>
    <col min="56" max="56" width="7.375" style="236" bestFit="1" customWidth="1"/>
    <col min="57" max="57" width="11.875" style="236" bestFit="1" customWidth="1"/>
    <col min="58" max="58" width="6.375" style="236" bestFit="1" customWidth="1"/>
    <col min="59" max="59" width="3.375" style="236" customWidth="1"/>
    <col min="60" max="60" width="10.875" style="236" bestFit="1" customWidth="1"/>
    <col min="61" max="61" width="7.25" style="236" bestFit="1" customWidth="1"/>
    <col min="62" max="62" width="10.875" style="236" bestFit="1" customWidth="1"/>
    <col min="63" max="63" width="9" style="236" bestFit="1"/>
    <col min="64" max="64" width="8.75" style="236" bestFit="1" customWidth="1"/>
    <col min="65" max="65" width="6.375" style="236" bestFit="1" customWidth="1"/>
    <col min="66" max="66" width="10.875" style="236" bestFit="1" customWidth="1"/>
    <col min="67" max="67" width="8.125" style="236" customWidth="1"/>
    <col min="68" max="68" width="10.375" style="236" bestFit="1" customWidth="1"/>
    <col min="69" max="69" width="6.375" style="236" bestFit="1" customWidth="1"/>
    <col min="70" max="70" width="12.375" style="236" bestFit="1" customWidth="1"/>
    <col min="71" max="71" width="6.375" style="236" bestFit="1" customWidth="1"/>
    <col min="72" max="72" width="10.125" style="236" bestFit="1" customWidth="1"/>
    <col min="73" max="73" width="8.25" style="236" bestFit="1" customWidth="1"/>
    <col min="74" max="74" width="9.625" style="236" bestFit="1" customWidth="1"/>
    <col min="75" max="75" width="6.375" style="236" bestFit="1" customWidth="1"/>
    <col min="76" max="76" width="11.875" style="236" bestFit="1" customWidth="1"/>
    <col min="77" max="77" width="6.375" style="236" bestFit="1" customWidth="1"/>
    <col min="78" max="78" width="3" style="236" customWidth="1"/>
    <col min="79" max="79" width="9.875" style="236" bestFit="1" customWidth="1"/>
    <col min="80" max="80" width="6.375" style="236" bestFit="1" customWidth="1"/>
    <col min="81" max="81" width="11.375" style="236" customWidth="1"/>
    <col min="82" max="82" width="7.125" style="236" customWidth="1"/>
    <col min="83" max="83" width="8.75" style="236" bestFit="1" customWidth="1"/>
    <col min="84" max="84" width="6.375" style="236" bestFit="1" customWidth="1"/>
    <col min="85" max="85" width="9.875" style="236" bestFit="1" customWidth="1"/>
    <col min="86" max="86" width="8.25" style="236" bestFit="1" customWidth="1"/>
    <col min="87" max="87" width="10.375" style="236" bestFit="1" customWidth="1"/>
    <col min="88" max="88" width="7" style="236" customWidth="1"/>
    <col min="89" max="89" width="11.375" style="236" customWidth="1"/>
    <col min="90" max="90" width="7.25" style="236" bestFit="1" customWidth="1"/>
    <col min="91" max="91" width="10.875" style="236" bestFit="1" customWidth="1"/>
    <col min="92" max="92" width="7.25" style="236" bestFit="1" customWidth="1"/>
    <col min="93" max="93" width="9.625" style="236" bestFit="1" customWidth="1"/>
    <col min="94" max="94" width="6.375" style="236" bestFit="1" customWidth="1"/>
    <col min="95" max="95" width="11.875" style="236" bestFit="1" customWidth="1"/>
    <col min="96" max="96" width="6.375" style="236" bestFit="1" customWidth="1"/>
    <col min="97" max="97" width="2.75" style="236" customWidth="1"/>
    <col min="98" max="98" width="9.875" style="236" bestFit="1" customWidth="1"/>
    <col min="99" max="99" width="6.375" style="236" bestFit="1" customWidth="1"/>
    <col min="100" max="100" width="12.375" style="236" customWidth="1"/>
    <col min="101" max="101" width="9.875" style="236" bestFit="1" customWidth="1"/>
    <col min="102" max="102" width="8.75" style="236" bestFit="1" customWidth="1"/>
    <col min="103" max="103" width="6.375" style="236" bestFit="1" customWidth="1"/>
    <col min="104" max="104" width="9.875" style="236" bestFit="1" customWidth="1"/>
    <col min="105" max="105" width="6.625" style="236" customWidth="1"/>
    <col min="106" max="106" width="10.375" style="236" bestFit="1" customWidth="1"/>
    <col min="107" max="107" width="6.375" style="236" bestFit="1" customWidth="1"/>
    <col min="108" max="108" width="12" style="236" customWidth="1"/>
    <col min="109" max="109" width="7.25" style="236" bestFit="1" customWidth="1"/>
    <col min="110" max="110" width="10.875" style="236" bestFit="1" customWidth="1"/>
    <col min="111" max="111" width="6.375" style="236" bestFit="1" customWidth="1"/>
    <col min="112" max="112" width="9.625" style="236" bestFit="1" customWidth="1"/>
    <col min="113" max="113" width="6.375" style="236" bestFit="1" customWidth="1"/>
    <col min="114" max="114" width="11.875" style="236" bestFit="1" customWidth="1"/>
    <col min="115" max="115" width="6.375" style="236" bestFit="1" customWidth="1"/>
    <col min="116" max="116" width="3.625" style="236" customWidth="1"/>
    <col min="117" max="117" width="8.75" style="236" bestFit="1" customWidth="1"/>
    <col min="118" max="118" width="6.375" style="236" bestFit="1" customWidth="1"/>
    <col min="119" max="119" width="8.875" style="236" bestFit="1" customWidth="1"/>
    <col min="120" max="120" width="6.375" style="236" bestFit="1" customWidth="1"/>
    <col min="121" max="121" width="8.75" style="236" bestFit="1" customWidth="1"/>
    <col min="122" max="122" width="6.375" style="236" bestFit="1" customWidth="1"/>
    <col min="123" max="123" width="8.75" style="236" bestFit="1" customWidth="1"/>
    <col min="124" max="124" width="6.375" style="236" bestFit="1" customWidth="1"/>
    <col min="125" max="125" width="10.375" style="236" bestFit="1" customWidth="1"/>
    <col min="126" max="126" width="6.375" style="236" bestFit="1" customWidth="1"/>
    <col min="127" max="127" width="11.875" style="236" bestFit="1" customWidth="1"/>
    <col min="128" max="128" width="7.25" style="236" bestFit="1" customWidth="1"/>
    <col min="129" max="129" width="10.875" style="236" bestFit="1" customWidth="1"/>
    <col min="130" max="130" width="7.25" style="236" bestFit="1" customWidth="1"/>
    <col min="131" max="131" width="9.625" style="236" bestFit="1" customWidth="1"/>
    <col min="132" max="132" width="6.375" style="236" bestFit="1" customWidth="1"/>
    <col min="133" max="133" width="11.875" style="236" bestFit="1" customWidth="1"/>
    <col min="134" max="134" width="6.375" style="236" bestFit="1" customWidth="1"/>
    <col min="135" max="135" width="3" style="236" customWidth="1"/>
    <col min="136" max="136" width="11" style="236" customWidth="1"/>
    <col min="137" max="137" width="8.625" style="236" bestFit="1" customWidth="1"/>
    <col min="138" max="138" width="12.375" style="236" bestFit="1" customWidth="1"/>
    <col min="139" max="139" width="7" style="236" customWidth="1"/>
    <col min="140" max="140" width="8.75" style="236" bestFit="1" customWidth="1"/>
    <col min="141" max="141" width="6.375" style="236" bestFit="1" customWidth="1"/>
    <col min="142" max="142" width="10.875" style="236" bestFit="1" customWidth="1"/>
    <col min="143" max="143" width="8.875" style="236" customWidth="1"/>
    <col min="144" max="144" width="11.75" style="236" bestFit="1" customWidth="1"/>
    <col min="145" max="145" width="8.25" style="236" bestFit="1" customWidth="1"/>
    <col min="146" max="146" width="12.375" style="236" bestFit="1" customWidth="1"/>
    <col min="147" max="147" width="7.25" style="236" bestFit="1" customWidth="1"/>
    <col min="148" max="148" width="11.25" style="236" bestFit="1" customWidth="1"/>
    <col min="149" max="149" width="7.25" style="236" bestFit="1" customWidth="1"/>
    <col min="150" max="150" width="9.625" style="236" bestFit="1" customWidth="1"/>
    <col min="151" max="151" width="6.375" style="236" bestFit="1" customWidth="1"/>
    <col min="152" max="152" width="11.875" style="236" bestFit="1" customWidth="1"/>
    <col min="153" max="153" width="6.375" style="236" bestFit="1" customWidth="1"/>
    <col min="154" max="154" width="3" style="236" customWidth="1"/>
    <col min="155" max="155" width="8.75" style="236" bestFit="1" customWidth="1"/>
    <col min="156" max="156" width="6.375" style="236" bestFit="1" customWidth="1"/>
    <col min="157" max="157" width="9.875" style="236" bestFit="1" customWidth="1"/>
    <col min="158" max="158" width="6.375" style="236" bestFit="1" customWidth="1"/>
    <col min="159" max="159" width="8.75" style="236" bestFit="1" customWidth="1"/>
    <col min="160" max="160" width="6.375" style="236" bestFit="1" customWidth="1"/>
    <col min="161" max="161" width="9.875" style="236" bestFit="1" customWidth="1"/>
    <col min="162" max="162" width="7.875" style="236" bestFit="1" customWidth="1"/>
    <col min="163" max="163" width="10.375" style="236" bestFit="1" customWidth="1"/>
    <col min="164" max="164" width="6.375" style="236" bestFit="1" customWidth="1"/>
    <col min="165" max="165" width="10.75" style="236" bestFit="1" customWidth="1"/>
    <col min="166" max="166" width="6.375" style="236" bestFit="1" customWidth="1"/>
    <col min="167" max="167" width="10.875" style="236" bestFit="1" customWidth="1"/>
    <col min="168" max="168" width="6.375" style="236" bestFit="1" customWidth="1"/>
    <col min="169" max="169" width="9.875" style="236" bestFit="1" customWidth="1"/>
    <col min="170" max="170" width="6.375" style="236" bestFit="1" customWidth="1"/>
    <col min="171" max="171" width="11.875" style="236" bestFit="1" customWidth="1"/>
    <col min="172" max="172" width="6.375" style="236" bestFit="1" customWidth="1"/>
    <col min="173" max="173" width="3.875" style="236" customWidth="1"/>
    <col min="174" max="174" width="8.75" style="236" bestFit="1" customWidth="1"/>
    <col min="175" max="175" width="6.375" style="236" bestFit="1" customWidth="1"/>
    <col min="176" max="176" width="10.875" style="236" bestFit="1" customWidth="1"/>
    <col min="177" max="177" width="7.25" style="236" bestFit="1" customWidth="1"/>
    <col min="178" max="178" width="8.75" style="236" bestFit="1" customWidth="1"/>
    <col min="179" max="179" width="6.375" style="236" bestFit="1" customWidth="1"/>
    <col min="180" max="180" width="10.875" style="236" bestFit="1" customWidth="1"/>
    <col min="181" max="181" width="6.875" style="236" bestFit="1" customWidth="1"/>
    <col min="182" max="182" width="10.375" style="236" bestFit="1" customWidth="1"/>
    <col min="183" max="183" width="6.375" style="236" bestFit="1" customWidth="1"/>
    <col min="184" max="184" width="11.875" style="236" bestFit="1" customWidth="1"/>
    <col min="185" max="185" width="6.375" style="236" bestFit="1" customWidth="1"/>
    <col min="186" max="186" width="10.875" style="236" bestFit="1" customWidth="1"/>
    <col min="187" max="187" width="8.25" style="236" bestFit="1" customWidth="1"/>
    <col min="188" max="188" width="9.875" style="236" bestFit="1" customWidth="1"/>
    <col min="189" max="189" width="6.375" style="236" bestFit="1" customWidth="1"/>
    <col min="190" max="190" width="11.875" style="236" bestFit="1" customWidth="1"/>
    <col min="191" max="191" width="6.375" style="236" customWidth="1"/>
    <col min="192" max="192" width="2.875" style="236" customWidth="1"/>
    <col min="193" max="193" width="8.75" style="236" bestFit="1" customWidth="1"/>
    <col min="194" max="194" width="6.375" style="236" bestFit="1" customWidth="1"/>
    <col min="195" max="195" width="11.25" style="236" bestFit="1" customWidth="1"/>
    <col min="196" max="196" width="7.25" style="236" bestFit="1" customWidth="1"/>
    <col min="197" max="197" width="8.75" style="236" bestFit="1" customWidth="1"/>
    <col min="198" max="198" width="6.375" style="236" bestFit="1" customWidth="1"/>
    <col min="199" max="199" width="11.25" style="236" bestFit="1" customWidth="1"/>
    <col min="200" max="200" width="9.375" style="236" bestFit="1" customWidth="1"/>
    <col min="201" max="201" width="11.75" style="236" bestFit="1" customWidth="1"/>
    <col min="202" max="202" width="7.25" style="236" bestFit="1" customWidth="1"/>
    <col min="203" max="203" width="12.375" style="236" bestFit="1" customWidth="1"/>
    <col min="204" max="204" width="6.375" style="236" bestFit="1" customWidth="1"/>
    <col min="205" max="205" width="11.25" style="236" bestFit="1" customWidth="1"/>
    <col min="206" max="206" width="7.25" style="236" bestFit="1" customWidth="1"/>
    <col min="207" max="207" width="9.625" style="236" bestFit="1" customWidth="1"/>
    <col min="208" max="208" width="6.375" style="236" bestFit="1" customWidth="1"/>
    <col min="209" max="209" width="11.875" style="236" bestFit="1" customWidth="1"/>
    <col min="210" max="210" width="6.375" style="236" bestFit="1" customWidth="1"/>
    <col min="211" max="211" width="3.375" style="236" customWidth="1"/>
    <col min="212" max="212" width="9.75" style="236" customWidth="1"/>
    <col min="213" max="213" width="6.375" style="236" bestFit="1" customWidth="1"/>
    <col min="214" max="214" width="10.875" style="236" bestFit="1" customWidth="1"/>
    <col min="215" max="215" width="9" style="236"/>
    <col min="216" max="216" width="8.75" style="236" bestFit="1" customWidth="1"/>
    <col min="217" max="217" width="6.375" style="236" bestFit="1" customWidth="1"/>
    <col min="218" max="218" width="9.875" style="236" bestFit="1" customWidth="1"/>
    <col min="219" max="219" width="7.25" style="236" bestFit="1" customWidth="1"/>
    <col min="220" max="220" width="10.375" style="236" bestFit="1" customWidth="1"/>
    <col min="221" max="221" width="8" style="236" customWidth="1"/>
    <col min="222" max="222" width="10.75" style="236" bestFit="1" customWidth="1"/>
    <col min="223" max="223" width="7.25" style="236" bestFit="1" customWidth="1"/>
    <col min="224" max="224" width="10.875" style="236" bestFit="1" customWidth="1"/>
    <col min="225" max="225" width="6.375" style="236" bestFit="1" customWidth="1"/>
    <col min="226" max="226" width="10.875" style="236" bestFit="1" customWidth="1"/>
    <col min="227" max="227" width="6.375" style="236" bestFit="1" customWidth="1"/>
    <col min="228" max="228" width="11.875" style="236" bestFit="1" customWidth="1"/>
    <col min="229" max="229" width="6.375" style="236" bestFit="1" customWidth="1"/>
    <col min="230" max="230" width="3" style="236" customWidth="1"/>
    <col min="231" max="231" width="8.75" style="236" bestFit="1" customWidth="1"/>
    <col min="232" max="232" width="6.375" style="236" bestFit="1" customWidth="1"/>
    <col min="233" max="233" width="10.875" style="236" bestFit="1" customWidth="1"/>
    <col min="234" max="234" width="6.375" style="236" customWidth="1"/>
    <col min="235" max="235" width="8.75" style="236" bestFit="1" customWidth="1"/>
    <col min="236" max="236" width="6.375" style="236" bestFit="1" customWidth="1"/>
    <col min="237" max="237" width="9.875" style="236" bestFit="1" customWidth="1"/>
    <col min="238" max="238" width="6.375" style="236" bestFit="1" customWidth="1"/>
    <col min="239" max="239" width="10.375" style="236" bestFit="1" customWidth="1"/>
    <col min="240" max="240" width="6.375" style="236" bestFit="1" customWidth="1"/>
    <col min="241" max="241" width="10.75" style="236" bestFit="1" customWidth="1"/>
    <col min="242" max="242" width="6.375" style="236" bestFit="1" customWidth="1"/>
    <col min="243" max="243" width="10.875" style="236" bestFit="1" customWidth="1"/>
    <col min="244" max="244" width="6.375" style="236" bestFit="1" customWidth="1"/>
    <col min="245" max="245" width="10.875" style="236" bestFit="1" customWidth="1"/>
    <col min="246" max="246" width="6.375" style="236" bestFit="1" customWidth="1"/>
    <col min="247" max="247" width="11.875" style="236" bestFit="1" customWidth="1"/>
    <col min="248" max="248" width="6.375" style="236" bestFit="1" customWidth="1"/>
    <col min="249" max="249" width="2.625" style="236" customWidth="1"/>
    <col min="250" max="250" width="8.75" style="236" bestFit="1" customWidth="1"/>
    <col min="251" max="251" width="7.25" style="236" bestFit="1" customWidth="1"/>
    <col min="252" max="252" width="11.25" style="236" bestFit="1" customWidth="1"/>
    <col min="253" max="253" width="6.375" style="236" bestFit="1" customWidth="1"/>
    <col min="254" max="254" width="8.75" style="236" bestFit="1" customWidth="1"/>
    <col min="255" max="255" width="6.375" style="236" bestFit="1" customWidth="1"/>
    <col min="256" max="256" width="11.875" style="236" customWidth="1"/>
    <col min="257" max="257" width="7.375" style="236" bestFit="1" customWidth="1"/>
    <col min="258" max="258" width="11.75" style="236" bestFit="1" customWidth="1"/>
    <col min="259" max="259" width="7.25" style="236" bestFit="1" customWidth="1"/>
    <col min="260" max="260" width="12.375" style="236" bestFit="1" customWidth="1"/>
    <col min="261" max="261" width="6.375" style="236" bestFit="1" customWidth="1"/>
    <col min="262" max="262" width="12" style="236" customWidth="1"/>
    <col min="263" max="263" width="7.25" style="236" bestFit="1" customWidth="1"/>
    <col min="264" max="264" width="10.875" style="236" bestFit="1" customWidth="1"/>
    <col min="265" max="265" width="6.375" style="236" bestFit="1" customWidth="1"/>
    <col min="266" max="266" width="11.875" style="236" bestFit="1" customWidth="1"/>
    <col min="267" max="267" width="6.375" style="236" bestFit="1" customWidth="1"/>
    <col min="268" max="268" width="3.375" style="236" customWidth="1"/>
    <col min="269" max="269" width="8.75" style="236" bestFit="1" customWidth="1"/>
    <col min="270" max="270" width="6.375" style="236" bestFit="1" customWidth="1"/>
    <col min="271" max="271" width="9.875" style="236" bestFit="1" customWidth="1"/>
    <col min="272" max="272" width="6.375" style="236" bestFit="1" customWidth="1"/>
    <col min="273" max="273" width="8.75" style="236" bestFit="1" customWidth="1"/>
    <col min="274" max="274" width="6.375" style="236" bestFit="1" customWidth="1"/>
    <col min="275" max="275" width="9.25" style="236" bestFit="1" customWidth="1"/>
    <col min="276" max="276" width="6.375" style="236" bestFit="1" customWidth="1"/>
    <col min="277" max="277" width="10.375" style="236" bestFit="1" customWidth="1"/>
    <col min="278" max="278" width="6.375" style="236" bestFit="1" customWidth="1"/>
    <col min="279" max="279" width="12.375" style="236" customWidth="1"/>
    <col min="280" max="280" width="6.375" style="236" bestFit="1" customWidth="1"/>
    <col min="281" max="281" width="11.25" style="236" bestFit="1" customWidth="1"/>
    <col min="282" max="282" width="6.375" style="236" bestFit="1" customWidth="1"/>
    <col min="283" max="283" width="9.625" style="236" bestFit="1" customWidth="1"/>
    <col min="284" max="284" width="6.375" style="236" bestFit="1" customWidth="1"/>
    <col min="285" max="285" width="11.875" style="236" bestFit="1" customWidth="1"/>
    <col min="286" max="286" width="6.375" style="236" bestFit="1" customWidth="1"/>
    <col min="287" max="287" width="3" style="236" customWidth="1"/>
    <col min="288" max="288" width="8.75" style="236" bestFit="1" customWidth="1"/>
    <col min="289" max="289" width="6.375" style="236" bestFit="1" customWidth="1"/>
    <col min="290" max="290" width="10.875" style="236" bestFit="1" customWidth="1"/>
    <col min="291" max="291" width="6.375" style="236" bestFit="1" customWidth="1"/>
    <col min="292" max="292" width="8.75" style="236" bestFit="1" customWidth="1"/>
    <col min="293" max="293" width="6.375" style="236" bestFit="1" customWidth="1"/>
    <col min="294" max="294" width="9.875" style="236" bestFit="1" customWidth="1"/>
    <col min="295" max="295" width="6.375" style="236" bestFit="1" customWidth="1"/>
    <col min="296" max="296" width="10.375" style="236" bestFit="1" customWidth="1"/>
    <col min="297" max="297" width="6.375" style="236" bestFit="1" customWidth="1"/>
    <col min="298" max="298" width="12.375" style="236" bestFit="1" customWidth="1"/>
    <col min="299" max="299" width="7.25" style="236" bestFit="1" customWidth="1"/>
    <col min="300" max="300" width="12.375" style="236" bestFit="1" customWidth="1"/>
    <col min="301" max="301" width="9.875" style="236" bestFit="1" customWidth="1"/>
    <col min="302" max="302" width="10.875" style="236" bestFit="1" customWidth="1"/>
    <col min="303" max="303" width="6.375" style="236" bestFit="1" customWidth="1"/>
    <col min="304" max="304" width="11.875" style="236" bestFit="1" customWidth="1"/>
    <col min="305" max="305" width="6.375" style="236" bestFit="1" customWidth="1"/>
    <col min="306" max="306" width="8.75" style="236" hidden="1" customWidth="1"/>
    <col min="307" max="307" width="6.375" style="236" hidden="1" customWidth="1"/>
    <col min="308" max="308" width="6.75" style="236" hidden="1" customWidth="1"/>
    <col min="309" max="309" width="6.375" style="236" hidden="1" customWidth="1"/>
    <col min="310" max="310" width="8.75" style="236" hidden="1" customWidth="1"/>
    <col min="311" max="311" width="6.375" style="236" hidden="1" customWidth="1"/>
    <col min="312" max="312" width="8.75" style="236" hidden="1" customWidth="1"/>
    <col min="313" max="313" width="6.375" style="236" hidden="1" customWidth="1"/>
    <col min="314" max="314" width="10.375" style="236" hidden="1" customWidth="1"/>
    <col min="315" max="315" width="6.375" style="236" hidden="1" customWidth="1"/>
    <col min="316" max="316" width="10.75" style="236" hidden="1" customWidth="1"/>
    <col min="317" max="317" width="6.375" style="236" hidden="1" customWidth="1"/>
    <col min="318" max="318" width="9.125" style="236" hidden="1" customWidth="1"/>
    <col min="319" max="319" width="6.375" style="236" hidden="1" customWidth="1"/>
    <col min="320" max="320" width="9.625" style="236" hidden="1" customWidth="1"/>
    <col min="321" max="321" width="6.375" style="236" hidden="1" customWidth="1"/>
    <col min="322" max="322" width="11.875" style="236" hidden="1" customWidth="1"/>
    <col min="323" max="323" width="6.375" style="236" hidden="1" customWidth="1"/>
    <col min="324" max="324" width="8.75" style="236" hidden="1" customWidth="1"/>
    <col min="325" max="325" width="6.375" style="236" hidden="1" customWidth="1"/>
    <col min="326" max="326" width="6.75" style="236" hidden="1" customWidth="1"/>
    <col min="327" max="327" width="6.375" style="236" hidden="1" customWidth="1"/>
    <col min="328" max="328" width="8.75" style="236" hidden="1" customWidth="1"/>
    <col min="329" max="329" width="6.375" style="236" hidden="1" customWidth="1"/>
    <col min="330" max="330" width="8.75" style="236" hidden="1" customWidth="1"/>
    <col min="331" max="331" width="6.375" style="236" hidden="1" customWidth="1"/>
    <col min="332" max="332" width="10.375" style="236" hidden="1" customWidth="1"/>
    <col min="333" max="333" width="6.375" style="236" hidden="1" customWidth="1"/>
    <col min="334" max="334" width="10.75" style="236" hidden="1" customWidth="1"/>
    <col min="335" max="335" width="6.375" style="236" hidden="1" customWidth="1"/>
    <col min="336" max="336" width="9.125" style="236" hidden="1" customWidth="1"/>
    <col min="337" max="337" width="6.375" style="236" hidden="1" customWidth="1"/>
    <col min="338" max="338" width="9.625" style="236" hidden="1" customWidth="1"/>
    <col min="339" max="339" width="6.375" style="236" hidden="1" customWidth="1"/>
    <col min="340" max="340" width="11.875" style="236" hidden="1" customWidth="1"/>
    <col min="341" max="341" width="6.375" style="236" hidden="1" customWidth="1"/>
    <col min="342" max="342" width="12.375" style="236" bestFit="1" customWidth="1"/>
    <col min="343" max="343" width="12.25" style="236" bestFit="1" customWidth="1"/>
    <col min="344" max="344" width="10.875" style="236" bestFit="1" customWidth="1"/>
    <col min="345" max="16384" width="9" style="236"/>
  </cols>
  <sheetData>
    <row r="1" spans="2:342" hidden="1"/>
    <row r="2" spans="2:342" hidden="1"/>
    <row r="3" spans="2:342" hidden="1"/>
    <row r="4" spans="2:342">
      <c r="MD4" s="261">
        <v>800000</v>
      </c>
    </row>
    <row r="5" spans="2:342" s="85" customFormat="1" ht="24.75" customHeight="1">
      <c r="B5" s="204" t="s">
        <v>85</v>
      </c>
      <c r="C5" s="1185" t="s">
        <v>973</v>
      </c>
      <c r="D5" s="1186"/>
      <c r="E5" s="1186"/>
      <c r="F5" s="1186"/>
      <c r="G5" s="1186"/>
      <c r="H5" s="1186"/>
      <c r="I5" s="1186"/>
      <c r="J5" s="1186"/>
      <c r="K5" s="1186"/>
      <c r="L5" s="1186"/>
      <c r="M5" s="1186"/>
      <c r="N5" s="1186"/>
      <c r="O5" s="1186"/>
      <c r="P5" s="1186"/>
      <c r="Q5" s="1186"/>
      <c r="R5" s="1186"/>
      <c r="S5" s="1186"/>
      <c r="T5" s="1187"/>
      <c r="U5" s="205"/>
      <c r="V5" s="1188" t="s">
        <v>974</v>
      </c>
      <c r="W5" s="1189"/>
      <c r="X5" s="1189"/>
      <c r="Y5" s="1189"/>
      <c r="Z5" s="1189"/>
      <c r="AA5" s="1189"/>
      <c r="AB5" s="1189"/>
      <c r="AC5" s="1189"/>
      <c r="AD5" s="1189"/>
      <c r="AE5" s="1189"/>
      <c r="AF5" s="1189"/>
      <c r="AG5" s="1189"/>
      <c r="AH5" s="1189"/>
      <c r="AI5" s="1189"/>
      <c r="AJ5" s="1189"/>
      <c r="AK5" s="1189"/>
      <c r="AL5" s="1189"/>
      <c r="AM5" s="1190"/>
      <c r="AN5" s="205"/>
      <c r="AO5" s="1185" t="s">
        <v>975</v>
      </c>
      <c r="AP5" s="1186"/>
      <c r="AQ5" s="1186"/>
      <c r="AR5" s="1186"/>
      <c r="AS5" s="1186"/>
      <c r="AT5" s="1186"/>
      <c r="AU5" s="1186"/>
      <c r="AV5" s="1186"/>
      <c r="AW5" s="1186"/>
      <c r="AX5" s="1186"/>
      <c r="AY5" s="1186"/>
      <c r="AZ5" s="1186"/>
      <c r="BA5" s="1186"/>
      <c r="BB5" s="1186"/>
      <c r="BC5" s="1186"/>
      <c r="BD5" s="1186"/>
      <c r="BE5" s="1186"/>
      <c r="BF5" s="1187"/>
      <c r="BG5" s="205"/>
      <c r="BH5" s="1188" t="s">
        <v>976</v>
      </c>
      <c r="BI5" s="1189"/>
      <c r="BJ5" s="1189"/>
      <c r="BK5" s="1189"/>
      <c r="BL5" s="1189"/>
      <c r="BM5" s="1189"/>
      <c r="BN5" s="1189"/>
      <c r="BO5" s="1189"/>
      <c r="BP5" s="1189"/>
      <c r="BQ5" s="1189"/>
      <c r="BR5" s="1189"/>
      <c r="BS5" s="1189"/>
      <c r="BT5" s="1189"/>
      <c r="BU5" s="1189"/>
      <c r="BV5" s="1189"/>
      <c r="BW5" s="1189"/>
      <c r="BX5" s="1189"/>
      <c r="BY5" s="1190"/>
      <c r="BZ5" s="205"/>
      <c r="CA5" s="1185" t="s">
        <v>977</v>
      </c>
      <c r="CB5" s="1186"/>
      <c r="CC5" s="1186"/>
      <c r="CD5" s="1186"/>
      <c r="CE5" s="1186"/>
      <c r="CF5" s="1186"/>
      <c r="CG5" s="1186"/>
      <c r="CH5" s="1186"/>
      <c r="CI5" s="1186"/>
      <c r="CJ5" s="1186"/>
      <c r="CK5" s="1186"/>
      <c r="CL5" s="1186"/>
      <c r="CM5" s="1186"/>
      <c r="CN5" s="1186"/>
      <c r="CO5" s="1186"/>
      <c r="CP5" s="1186"/>
      <c r="CQ5" s="1186"/>
      <c r="CR5" s="1187"/>
      <c r="CS5" s="205"/>
      <c r="CT5" s="1188" t="s">
        <v>978</v>
      </c>
      <c r="CU5" s="1189"/>
      <c r="CV5" s="1189"/>
      <c r="CW5" s="1189"/>
      <c r="CX5" s="1189"/>
      <c r="CY5" s="1189"/>
      <c r="CZ5" s="1189"/>
      <c r="DA5" s="1189"/>
      <c r="DB5" s="1189"/>
      <c r="DC5" s="1189"/>
      <c r="DD5" s="1189"/>
      <c r="DE5" s="1189"/>
      <c r="DF5" s="1189"/>
      <c r="DG5" s="1189"/>
      <c r="DH5" s="1189"/>
      <c r="DI5" s="1189"/>
      <c r="DJ5" s="1189"/>
      <c r="DK5" s="1190"/>
      <c r="DL5" s="205"/>
      <c r="DM5" s="1185" t="s">
        <v>979</v>
      </c>
      <c r="DN5" s="1186"/>
      <c r="DO5" s="1186"/>
      <c r="DP5" s="1186"/>
      <c r="DQ5" s="1186"/>
      <c r="DR5" s="1186"/>
      <c r="DS5" s="1186"/>
      <c r="DT5" s="1186"/>
      <c r="DU5" s="1186"/>
      <c r="DV5" s="1186"/>
      <c r="DW5" s="1186"/>
      <c r="DX5" s="1186"/>
      <c r="DY5" s="1186"/>
      <c r="DZ5" s="1186"/>
      <c r="EA5" s="1186"/>
      <c r="EB5" s="1186"/>
      <c r="EC5" s="1186"/>
      <c r="ED5" s="1187"/>
      <c r="EE5" s="205"/>
      <c r="EF5" s="1188" t="s">
        <v>980</v>
      </c>
      <c r="EG5" s="1189"/>
      <c r="EH5" s="1189"/>
      <c r="EI5" s="1189"/>
      <c r="EJ5" s="1189"/>
      <c r="EK5" s="1189"/>
      <c r="EL5" s="1189"/>
      <c r="EM5" s="1189"/>
      <c r="EN5" s="1189"/>
      <c r="EO5" s="1189"/>
      <c r="EP5" s="1189"/>
      <c r="EQ5" s="1189"/>
      <c r="ER5" s="1189"/>
      <c r="ES5" s="1189"/>
      <c r="ET5" s="1189"/>
      <c r="EU5" s="1189"/>
      <c r="EV5" s="1189"/>
      <c r="EW5" s="1190"/>
      <c r="EX5" s="205"/>
      <c r="EY5" s="1185" t="s">
        <v>981</v>
      </c>
      <c r="EZ5" s="1186"/>
      <c r="FA5" s="1186"/>
      <c r="FB5" s="1186"/>
      <c r="FC5" s="1186"/>
      <c r="FD5" s="1186"/>
      <c r="FE5" s="1186"/>
      <c r="FF5" s="1186"/>
      <c r="FG5" s="1186"/>
      <c r="FH5" s="1186"/>
      <c r="FI5" s="1186"/>
      <c r="FJ5" s="1186"/>
      <c r="FK5" s="1186"/>
      <c r="FL5" s="1186"/>
      <c r="FM5" s="1186"/>
      <c r="FN5" s="1186"/>
      <c r="FO5" s="1186"/>
      <c r="FP5" s="1187"/>
      <c r="FQ5" s="205"/>
      <c r="FR5" s="1188" t="s">
        <v>982</v>
      </c>
      <c r="FS5" s="1189"/>
      <c r="FT5" s="1189"/>
      <c r="FU5" s="1189"/>
      <c r="FV5" s="1189"/>
      <c r="FW5" s="1189"/>
      <c r="FX5" s="1189"/>
      <c r="FY5" s="1189"/>
      <c r="FZ5" s="1189"/>
      <c r="GA5" s="1189"/>
      <c r="GB5" s="1189"/>
      <c r="GC5" s="1189"/>
      <c r="GD5" s="1189"/>
      <c r="GE5" s="1189"/>
      <c r="GF5" s="1189"/>
      <c r="GG5" s="1189"/>
      <c r="GH5" s="1189"/>
      <c r="GI5" s="1190"/>
      <c r="GJ5" s="205"/>
      <c r="GK5" s="1185" t="s">
        <v>983</v>
      </c>
      <c r="GL5" s="1186"/>
      <c r="GM5" s="1186"/>
      <c r="GN5" s="1186"/>
      <c r="GO5" s="1186"/>
      <c r="GP5" s="1186"/>
      <c r="GQ5" s="1186"/>
      <c r="GR5" s="1186"/>
      <c r="GS5" s="1186"/>
      <c r="GT5" s="1186"/>
      <c r="GU5" s="1186"/>
      <c r="GV5" s="1186"/>
      <c r="GW5" s="1186"/>
      <c r="GX5" s="1186"/>
      <c r="GY5" s="1186"/>
      <c r="GZ5" s="1186"/>
      <c r="HA5" s="1186"/>
      <c r="HB5" s="1187"/>
      <c r="HC5" s="205"/>
      <c r="HD5" s="1188" t="s">
        <v>984</v>
      </c>
      <c r="HE5" s="1189"/>
      <c r="HF5" s="1189"/>
      <c r="HG5" s="1189"/>
      <c r="HH5" s="1189"/>
      <c r="HI5" s="1189"/>
      <c r="HJ5" s="1189"/>
      <c r="HK5" s="1189"/>
      <c r="HL5" s="1189"/>
      <c r="HM5" s="1189"/>
      <c r="HN5" s="1189"/>
      <c r="HO5" s="1189"/>
      <c r="HP5" s="1189"/>
      <c r="HQ5" s="1189"/>
      <c r="HR5" s="1189"/>
      <c r="HS5" s="1189"/>
      <c r="HT5" s="1189"/>
      <c r="HU5" s="1190"/>
      <c r="HV5" s="205"/>
      <c r="HW5" s="1185" t="s">
        <v>963</v>
      </c>
      <c r="HX5" s="1186"/>
      <c r="HY5" s="1186"/>
      <c r="HZ5" s="1186"/>
      <c r="IA5" s="1186"/>
      <c r="IB5" s="1186"/>
      <c r="IC5" s="1186"/>
      <c r="ID5" s="1186"/>
      <c r="IE5" s="1186"/>
      <c r="IF5" s="1186"/>
      <c r="IG5" s="1186"/>
      <c r="IH5" s="1186"/>
      <c r="II5" s="1186"/>
      <c r="IJ5" s="1186"/>
      <c r="IK5" s="1186"/>
      <c r="IL5" s="1186"/>
      <c r="IM5" s="1186"/>
      <c r="IN5" s="1187"/>
      <c r="IO5" s="205"/>
      <c r="IP5" s="1188" t="s">
        <v>985</v>
      </c>
      <c r="IQ5" s="1189"/>
      <c r="IR5" s="1189"/>
      <c r="IS5" s="1189"/>
      <c r="IT5" s="1189"/>
      <c r="IU5" s="1189"/>
      <c r="IV5" s="1189"/>
      <c r="IW5" s="1189"/>
      <c r="IX5" s="1189"/>
      <c r="IY5" s="1189"/>
      <c r="IZ5" s="1189"/>
      <c r="JA5" s="1189"/>
      <c r="JB5" s="1189"/>
      <c r="JC5" s="1189"/>
      <c r="JD5" s="1189"/>
      <c r="JE5" s="1189"/>
      <c r="JF5" s="1189"/>
      <c r="JG5" s="1190"/>
      <c r="JH5" s="205"/>
      <c r="JI5" s="1185" t="s">
        <v>1083</v>
      </c>
      <c r="JJ5" s="1186"/>
      <c r="JK5" s="1186"/>
      <c r="JL5" s="1186"/>
      <c r="JM5" s="1186"/>
      <c r="JN5" s="1186"/>
      <c r="JO5" s="1186"/>
      <c r="JP5" s="1186"/>
      <c r="JQ5" s="1186"/>
      <c r="JR5" s="1186"/>
      <c r="JS5" s="1186"/>
      <c r="JT5" s="1186"/>
      <c r="JU5" s="1186"/>
      <c r="JV5" s="1186"/>
      <c r="JW5" s="1186"/>
      <c r="JX5" s="1186"/>
      <c r="JY5" s="1186"/>
      <c r="JZ5" s="1187"/>
      <c r="KA5" s="205"/>
      <c r="KB5" s="1188" t="s">
        <v>986</v>
      </c>
      <c r="KC5" s="1189"/>
      <c r="KD5" s="1189"/>
      <c r="KE5" s="1189"/>
      <c r="KF5" s="1189"/>
      <c r="KG5" s="1189"/>
      <c r="KH5" s="1189"/>
      <c r="KI5" s="1189"/>
      <c r="KJ5" s="1189"/>
      <c r="KK5" s="1189"/>
      <c r="KL5" s="1189"/>
      <c r="KM5" s="1189"/>
      <c r="KN5" s="1189"/>
      <c r="KO5" s="1189"/>
      <c r="KP5" s="1189"/>
      <c r="KQ5" s="1189"/>
      <c r="KR5" s="1189"/>
      <c r="KS5" s="1190"/>
      <c r="KT5" s="1191" t="s">
        <v>220</v>
      </c>
      <c r="KU5" s="1192"/>
      <c r="KV5" s="1192"/>
      <c r="KW5" s="1192"/>
      <c r="KX5" s="1192"/>
      <c r="KY5" s="1192"/>
      <c r="KZ5" s="1192"/>
      <c r="LA5" s="1192"/>
      <c r="LB5" s="1192"/>
      <c r="LC5" s="1192"/>
      <c r="LD5" s="1192"/>
      <c r="LE5" s="1192"/>
      <c r="LF5" s="1192"/>
      <c r="LG5" s="1192"/>
      <c r="LH5" s="1192"/>
      <c r="LI5" s="1192"/>
      <c r="LJ5" s="1192"/>
      <c r="LK5" s="1193"/>
      <c r="LL5" s="1185" t="s">
        <v>220</v>
      </c>
      <c r="LM5" s="1186"/>
      <c r="LN5" s="1186"/>
      <c r="LO5" s="1186"/>
      <c r="LP5" s="1186"/>
      <c r="LQ5" s="1186"/>
      <c r="LR5" s="1186"/>
      <c r="LS5" s="1186"/>
      <c r="LT5" s="1186"/>
      <c r="LU5" s="1186"/>
      <c r="LV5" s="1186"/>
      <c r="LW5" s="1186"/>
      <c r="LX5" s="1186"/>
      <c r="LY5" s="1186"/>
      <c r="LZ5" s="1186"/>
      <c r="MA5" s="1186"/>
      <c r="MB5" s="1186"/>
      <c r="MC5" s="1187"/>
      <c r="MD5" s="1183" t="s">
        <v>66</v>
      </c>
    </row>
    <row r="6" spans="2:342" s="71" customFormat="1" ht="24.75" customHeight="1">
      <c r="B6" s="93" t="s">
        <v>278</v>
      </c>
      <c r="C6" s="93" t="s">
        <v>987</v>
      </c>
      <c r="D6" s="93" t="s">
        <v>988</v>
      </c>
      <c r="E6" s="93" t="s">
        <v>989</v>
      </c>
      <c r="F6" s="93" t="s">
        <v>988</v>
      </c>
      <c r="G6" s="93" t="s">
        <v>990</v>
      </c>
      <c r="H6" s="93" t="s">
        <v>988</v>
      </c>
      <c r="I6" s="93" t="s">
        <v>991</v>
      </c>
      <c r="J6" s="93" t="s">
        <v>988</v>
      </c>
      <c r="K6" s="93" t="s">
        <v>992</v>
      </c>
      <c r="L6" s="93" t="s">
        <v>988</v>
      </c>
      <c r="M6" s="93" t="s">
        <v>993</v>
      </c>
      <c r="N6" s="93" t="s">
        <v>988</v>
      </c>
      <c r="O6" s="93" t="s">
        <v>994</v>
      </c>
      <c r="P6" s="93" t="s">
        <v>988</v>
      </c>
      <c r="Q6" s="93" t="s">
        <v>995</v>
      </c>
      <c r="R6" s="93" t="s">
        <v>988</v>
      </c>
      <c r="S6" s="93" t="s">
        <v>996</v>
      </c>
      <c r="T6" s="93" t="s">
        <v>988</v>
      </c>
      <c r="U6" s="206"/>
      <c r="V6" s="207" t="s">
        <v>987</v>
      </c>
      <c r="W6" s="207" t="s">
        <v>988</v>
      </c>
      <c r="X6" s="207" t="s">
        <v>989</v>
      </c>
      <c r="Y6" s="207" t="s">
        <v>988</v>
      </c>
      <c r="Z6" s="207" t="s">
        <v>990</v>
      </c>
      <c r="AA6" s="207" t="s">
        <v>988</v>
      </c>
      <c r="AB6" s="207" t="s">
        <v>991</v>
      </c>
      <c r="AC6" s="207" t="s">
        <v>988</v>
      </c>
      <c r="AD6" s="207" t="s">
        <v>992</v>
      </c>
      <c r="AE6" s="207" t="s">
        <v>988</v>
      </c>
      <c r="AF6" s="207" t="s">
        <v>993</v>
      </c>
      <c r="AG6" s="207" t="s">
        <v>988</v>
      </c>
      <c r="AH6" s="207" t="s">
        <v>994</v>
      </c>
      <c r="AI6" s="207" t="s">
        <v>988</v>
      </c>
      <c r="AJ6" s="207" t="s">
        <v>995</v>
      </c>
      <c r="AK6" s="207" t="s">
        <v>988</v>
      </c>
      <c r="AL6" s="207" t="s">
        <v>996</v>
      </c>
      <c r="AM6" s="207" t="s">
        <v>988</v>
      </c>
      <c r="AN6" s="206"/>
      <c r="AO6" s="93" t="s">
        <v>987</v>
      </c>
      <c r="AP6" s="93" t="s">
        <v>988</v>
      </c>
      <c r="AQ6" s="93" t="s">
        <v>989</v>
      </c>
      <c r="AR6" s="93" t="s">
        <v>988</v>
      </c>
      <c r="AS6" s="93" t="s">
        <v>990</v>
      </c>
      <c r="AT6" s="93" t="s">
        <v>988</v>
      </c>
      <c r="AU6" s="93" t="s">
        <v>991</v>
      </c>
      <c r="AV6" s="93" t="s">
        <v>988</v>
      </c>
      <c r="AW6" s="93" t="s">
        <v>992</v>
      </c>
      <c r="AX6" s="93" t="s">
        <v>988</v>
      </c>
      <c r="AY6" s="93" t="s">
        <v>993</v>
      </c>
      <c r="AZ6" s="93" t="s">
        <v>988</v>
      </c>
      <c r="BA6" s="93" t="s">
        <v>994</v>
      </c>
      <c r="BB6" s="93" t="s">
        <v>988</v>
      </c>
      <c r="BC6" s="93" t="s">
        <v>995</v>
      </c>
      <c r="BD6" s="93" t="s">
        <v>988</v>
      </c>
      <c r="BE6" s="93" t="s">
        <v>996</v>
      </c>
      <c r="BF6" s="93" t="s">
        <v>988</v>
      </c>
      <c r="BG6" s="206"/>
      <c r="BH6" s="207" t="s">
        <v>987</v>
      </c>
      <c r="BI6" s="207" t="s">
        <v>988</v>
      </c>
      <c r="BJ6" s="207" t="s">
        <v>989</v>
      </c>
      <c r="BK6" s="207" t="s">
        <v>988</v>
      </c>
      <c r="BL6" s="207" t="s">
        <v>990</v>
      </c>
      <c r="BM6" s="207" t="s">
        <v>988</v>
      </c>
      <c r="BN6" s="207" t="s">
        <v>991</v>
      </c>
      <c r="BO6" s="207" t="s">
        <v>988</v>
      </c>
      <c r="BP6" s="207" t="s">
        <v>992</v>
      </c>
      <c r="BQ6" s="207" t="s">
        <v>988</v>
      </c>
      <c r="BR6" s="207" t="s">
        <v>993</v>
      </c>
      <c r="BS6" s="207" t="s">
        <v>988</v>
      </c>
      <c r="BT6" s="207" t="s">
        <v>994</v>
      </c>
      <c r="BU6" s="207" t="s">
        <v>988</v>
      </c>
      <c r="BV6" s="207" t="s">
        <v>995</v>
      </c>
      <c r="BW6" s="207" t="s">
        <v>988</v>
      </c>
      <c r="BX6" s="207" t="s">
        <v>997</v>
      </c>
      <c r="BY6" s="207" t="s">
        <v>988</v>
      </c>
      <c r="BZ6" s="206"/>
      <c r="CA6" s="93" t="s">
        <v>987</v>
      </c>
      <c r="CB6" s="93" t="s">
        <v>988</v>
      </c>
      <c r="CC6" s="93" t="s">
        <v>989</v>
      </c>
      <c r="CD6" s="93" t="s">
        <v>988</v>
      </c>
      <c r="CE6" s="93" t="s">
        <v>990</v>
      </c>
      <c r="CF6" s="93" t="s">
        <v>988</v>
      </c>
      <c r="CG6" s="93" t="s">
        <v>991</v>
      </c>
      <c r="CH6" s="93" t="s">
        <v>988</v>
      </c>
      <c r="CI6" s="93" t="s">
        <v>992</v>
      </c>
      <c r="CJ6" s="93" t="s">
        <v>988</v>
      </c>
      <c r="CK6" s="93" t="s">
        <v>993</v>
      </c>
      <c r="CL6" s="93" t="s">
        <v>988</v>
      </c>
      <c r="CM6" s="93" t="s">
        <v>994</v>
      </c>
      <c r="CN6" s="93" t="s">
        <v>988</v>
      </c>
      <c r="CO6" s="93" t="s">
        <v>995</v>
      </c>
      <c r="CP6" s="93" t="s">
        <v>988</v>
      </c>
      <c r="CQ6" s="93" t="s">
        <v>996</v>
      </c>
      <c r="CR6" s="93" t="s">
        <v>988</v>
      </c>
      <c r="CS6" s="206"/>
      <c r="CT6" s="207" t="s">
        <v>987</v>
      </c>
      <c r="CU6" s="207" t="s">
        <v>988</v>
      </c>
      <c r="CV6" s="207" t="s">
        <v>989</v>
      </c>
      <c r="CW6" s="207" t="s">
        <v>988</v>
      </c>
      <c r="CX6" s="207" t="s">
        <v>990</v>
      </c>
      <c r="CY6" s="207" t="s">
        <v>988</v>
      </c>
      <c r="CZ6" s="207" t="s">
        <v>991</v>
      </c>
      <c r="DA6" s="207" t="s">
        <v>988</v>
      </c>
      <c r="DB6" s="207" t="s">
        <v>992</v>
      </c>
      <c r="DC6" s="207" t="s">
        <v>988</v>
      </c>
      <c r="DD6" s="207" t="s">
        <v>993</v>
      </c>
      <c r="DE6" s="207" t="s">
        <v>988</v>
      </c>
      <c r="DF6" s="207" t="s">
        <v>994</v>
      </c>
      <c r="DG6" s="207" t="s">
        <v>988</v>
      </c>
      <c r="DH6" s="207" t="s">
        <v>995</v>
      </c>
      <c r="DI6" s="207" t="s">
        <v>988</v>
      </c>
      <c r="DJ6" s="207" t="s">
        <v>996</v>
      </c>
      <c r="DK6" s="207" t="s">
        <v>988</v>
      </c>
      <c r="DL6" s="206"/>
      <c r="DM6" s="93" t="s">
        <v>987</v>
      </c>
      <c r="DN6" s="93" t="s">
        <v>988</v>
      </c>
      <c r="DO6" s="93" t="s">
        <v>989</v>
      </c>
      <c r="DP6" s="93" t="s">
        <v>988</v>
      </c>
      <c r="DQ6" s="93" t="s">
        <v>990</v>
      </c>
      <c r="DR6" s="93" t="s">
        <v>988</v>
      </c>
      <c r="DS6" s="93" t="s">
        <v>991</v>
      </c>
      <c r="DT6" s="93" t="s">
        <v>988</v>
      </c>
      <c r="DU6" s="93" t="s">
        <v>992</v>
      </c>
      <c r="DV6" s="93" t="s">
        <v>988</v>
      </c>
      <c r="DW6" s="93" t="s">
        <v>993</v>
      </c>
      <c r="DX6" s="93" t="s">
        <v>988</v>
      </c>
      <c r="DY6" s="93" t="s">
        <v>994</v>
      </c>
      <c r="DZ6" s="93" t="s">
        <v>988</v>
      </c>
      <c r="EA6" s="93" t="s">
        <v>995</v>
      </c>
      <c r="EB6" s="93" t="s">
        <v>988</v>
      </c>
      <c r="EC6" s="93" t="s">
        <v>996</v>
      </c>
      <c r="ED6" s="93" t="s">
        <v>988</v>
      </c>
      <c r="EE6" s="206"/>
      <c r="EF6" s="207" t="s">
        <v>987</v>
      </c>
      <c r="EG6" s="207" t="s">
        <v>988</v>
      </c>
      <c r="EH6" s="207" t="s">
        <v>989</v>
      </c>
      <c r="EI6" s="207" t="s">
        <v>988</v>
      </c>
      <c r="EJ6" s="207" t="s">
        <v>990</v>
      </c>
      <c r="EK6" s="207" t="s">
        <v>988</v>
      </c>
      <c r="EL6" s="207" t="s">
        <v>991</v>
      </c>
      <c r="EM6" s="207" t="s">
        <v>988</v>
      </c>
      <c r="EN6" s="207" t="s">
        <v>992</v>
      </c>
      <c r="EO6" s="207" t="s">
        <v>988</v>
      </c>
      <c r="EP6" s="207" t="s">
        <v>993</v>
      </c>
      <c r="EQ6" s="207" t="s">
        <v>988</v>
      </c>
      <c r="ER6" s="207" t="s">
        <v>994</v>
      </c>
      <c r="ES6" s="207" t="s">
        <v>988</v>
      </c>
      <c r="ET6" s="207" t="s">
        <v>995</v>
      </c>
      <c r="EU6" s="207" t="s">
        <v>988</v>
      </c>
      <c r="EV6" s="207" t="s">
        <v>996</v>
      </c>
      <c r="EW6" s="207" t="s">
        <v>988</v>
      </c>
      <c r="EX6" s="206"/>
      <c r="EY6" s="93" t="s">
        <v>987</v>
      </c>
      <c r="EZ6" s="93" t="s">
        <v>988</v>
      </c>
      <c r="FA6" s="93" t="s">
        <v>989</v>
      </c>
      <c r="FB6" s="93" t="s">
        <v>988</v>
      </c>
      <c r="FC6" s="93" t="s">
        <v>990</v>
      </c>
      <c r="FD6" s="93" t="s">
        <v>988</v>
      </c>
      <c r="FE6" s="93" t="s">
        <v>991</v>
      </c>
      <c r="FF6" s="93" t="s">
        <v>988</v>
      </c>
      <c r="FG6" s="93" t="s">
        <v>992</v>
      </c>
      <c r="FH6" s="93" t="s">
        <v>988</v>
      </c>
      <c r="FI6" s="93" t="s">
        <v>993</v>
      </c>
      <c r="FJ6" s="93" t="s">
        <v>988</v>
      </c>
      <c r="FK6" s="93" t="s">
        <v>994</v>
      </c>
      <c r="FL6" s="93" t="s">
        <v>988</v>
      </c>
      <c r="FM6" s="93" t="s">
        <v>995</v>
      </c>
      <c r="FN6" s="93" t="s">
        <v>988</v>
      </c>
      <c r="FO6" s="93" t="s">
        <v>996</v>
      </c>
      <c r="FP6" s="93" t="s">
        <v>988</v>
      </c>
      <c r="FQ6" s="206"/>
      <c r="FR6" s="207" t="s">
        <v>987</v>
      </c>
      <c r="FS6" s="207" t="s">
        <v>988</v>
      </c>
      <c r="FT6" s="207" t="s">
        <v>989</v>
      </c>
      <c r="FU6" s="207" t="s">
        <v>988</v>
      </c>
      <c r="FV6" s="207" t="s">
        <v>990</v>
      </c>
      <c r="FW6" s="207" t="s">
        <v>988</v>
      </c>
      <c r="FX6" s="207" t="s">
        <v>991</v>
      </c>
      <c r="FY6" s="207" t="s">
        <v>988</v>
      </c>
      <c r="FZ6" s="207" t="s">
        <v>992</v>
      </c>
      <c r="GA6" s="207" t="s">
        <v>988</v>
      </c>
      <c r="GB6" s="207" t="s">
        <v>993</v>
      </c>
      <c r="GC6" s="207" t="s">
        <v>988</v>
      </c>
      <c r="GD6" s="207" t="s">
        <v>994</v>
      </c>
      <c r="GE6" s="207" t="s">
        <v>988</v>
      </c>
      <c r="GF6" s="207" t="s">
        <v>995</v>
      </c>
      <c r="GG6" s="207" t="s">
        <v>988</v>
      </c>
      <c r="GH6" s="207" t="s">
        <v>996</v>
      </c>
      <c r="GI6" s="207" t="s">
        <v>988</v>
      </c>
      <c r="GJ6" s="206"/>
      <c r="GK6" s="93" t="s">
        <v>987</v>
      </c>
      <c r="GL6" s="93" t="s">
        <v>988</v>
      </c>
      <c r="GM6" s="93" t="s">
        <v>989</v>
      </c>
      <c r="GN6" s="93" t="s">
        <v>988</v>
      </c>
      <c r="GO6" s="93" t="s">
        <v>990</v>
      </c>
      <c r="GP6" s="93" t="s">
        <v>988</v>
      </c>
      <c r="GQ6" s="93" t="s">
        <v>991</v>
      </c>
      <c r="GR6" s="93" t="s">
        <v>988</v>
      </c>
      <c r="GS6" s="93" t="s">
        <v>992</v>
      </c>
      <c r="GT6" s="93" t="s">
        <v>988</v>
      </c>
      <c r="GU6" s="93" t="s">
        <v>993</v>
      </c>
      <c r="GV6" s="93" t="s">
        <v>988</v>
      </c>
      <c r="GW6" s="93" t="s">
        <v>994</v>
      </c>
      <c r="GX6" s="93" t="s">
        <v>988</v>
      </c>
      <c r="GY6" s="93" t="s">
        <v>995</v>
      </c>
      <c r="GZ6" s="93" t="s">
        <v>988</v>
      </c>
      <c r="HA6" s="93" t="s">
        <v>998</v>
      </c>
      <c r="HB6" s="93" t="s">
        <v>988</v>
      </c>
      <c r="HC6" s="206"/>
      <c r="HD6" s="207" t="s">
        <v>987</v>
      </c>
      <c r="HE6" s="207" t="s">
        <v>988</v>
      </c>
      <c r="HF6" s="207" t="s">
        <v>989</v>
      </c>
      <c r="HG6" s="207" t="s">
        <v>988</v>
      </c>
      <c r="HH6" s="207" t="s">
        <v>990</v>
      </c>
      <c r="HI6" s="207" t="s">
        <v>988</v>
      </c>
      <c r="HJ6" s="207" t="s">
        <v>991</v>
      </c>
      <c r="HK6" s="207" t="s">
        <v>988</v>
      </c>
      <c r="HL6" s="207" t="s">
        <v>992</v>
      </c>
      <c r="HM6" s="207" t="s">
        <v>988</v>
      </c>
      <c r="HN6" s="207" t="s">
        <v>993</v>
      </c>
      <c r="HO6" s="207" t="s">
        <v>988</v>
      </c>
      <c r="HP6" s="207" t="s">
        <v>994</v>
      </c>
      <c r="HQ6" s="207" t="s">
        <v>988</v>
      </c>
      <c r="HR6" s="207" t="s">
        <v>995</v>
      </c>
      <c r="HS6" s="207" t="s">
        <v>988</v>
      </c>
      <c r="HT6" s="207" t="s">
        <v>996</v>
      </c>
      <c r="HU6" s="207" t="s">
        <v>988</v>
      </c>
      <c r="HV6" s="206"/>
      <c r="HW6" s="93" t="s">
        <v>987</v>
      </c>
      <c r="HX6" s="93" t="s">
        <v>988</v>
      </c>
      <c r="HY6" s="93" t="s">
        <v>989</v>
      </c>
      <c r="HZ6" s="93" t="s">
        <v>988</v>
      </c>
      <c r="IA6" s="93" t="s">
        <v>990</v>
      </c>
      <c r="IB6" s="93" t="s">
        <v>988</v>
      </c>
      <c r="IC6" s="93" t="s">
        <v>991</v>
      </c>
      <c r="ID6" s="93" t="s">
        <v>988</v>
      </c>
      <c r="IE6" s="93" t="s">
        <v>992</v>
      </c>
      <c r="IF6" s="93" t="s">
        <v>988</v>
      </c>
      <c r="IG6" s="93" t="s">
        <v>993</v>
      </c>
      <c r="IH6" s="93" t="s">
        <v>988</v>
      </c>
      <c r="II6" s="93" t="s">
        <v>994</v>
      </c>
      <c r="IJ6" s="93" t="s">
        <v>988</v>
      </c>
      <c r="IK6" s="93" t="s">
        <v>995</v>
      </c>
      <c r="IL6" s="93" t="s">
        <v>988</v>
      </c>
      <c r="IM6" s="93" t="s">
        <v>996</v>
      </c>
      <c r="IN6" s="93" t="s">
        <v>988</v>
      </c>
      <c r="IO6" s="206"/>
      <c r="IP6" s="207" t="s">
        <v>987</v>
      </c>
      <c r="IQ6" s="207" t="s">
        <v>988</v>
      </c>
      <c r="IR6" s="207" t="s">
        <v>989</v>
      </c>
      <c r="IS6" s="207" t="s">
        <v>988</v>
      </c>
      <c r="IT6" s="207" t="s">
        <v>990</v>
      </c>
      <c r="IU6" s="207" t="s">
        <v>988</v>
      </c>
      <c r="IV6" s="207" t="s">
        <v>991</v>
      </c>
      <c r="IW6" s="207" t="s">
        <v>988</v>
      </c>
      <c r="IX6" s="207" t="s">
        <v>992</v>
      </c>
      <c r="IY6" s="207" t="s">
        <v>988</v>
      </c>
      <c r="IZ6" s="207" t="s">
        <v>993</v>
      </c>
      <c r="JA6" s="207" t="s">
        <v>988</v>
      </c>
      <c r="JB6" s="207" t="s">
        <v>994</v>
      </c>
      <c r="JC6" s="207" t="s">
        <v>988</v>
      </c>
      <c r="JD6" s="207" t="s">
        <v>995</v>
      </c>
      <c r="JE6" s="207" t="s">
        <v>988</v>
      </c>
      <c r="JF6" s="207" t="s">
        <v>996</v>
      </c>
      <c r="JG6" s="207" t="s">
        <v>988</v>
      </c>
      <c r="JH6" s="206"/>
      <c r="JI6" s="93" t="s">
        <v>987</v>
      </c>
      <c r="JJ6" s="93" t="s">
        <v>988</v>
      </c>
      <c r="JK6" s="93" t="s">
        <v>989</v>
      </c>
      <c r="JL6" s="93" t="s">
        <v>988</v>
      </c>
      <c r="JM6" s="93" t="s">
        <v>990</v>
      </c>
      <c r="JN6" s="93" t="s">
        <v>988</v>
      </c>
      <c r="JO6" s="93" t="s">
        <v>991</v>
      </c>
      <c r="JP6" s="93" t="s">
        <v>988</v>
      </c>
      <c r="JQ6" s="93" t="s">
        <v>992</v>
      </c>
      <c r="JR6" s="93" t="s">
        <v>988</v>
      </c>
      <c r="JS6" s="93" t="s">
        <v>993</v>
      </c>
      <c r="JT6" s="93" t="s">
        <v>988</v>
      </c>
      <c r="JU6" s="93" t="s">
        <v>994</v>
      </c>
      <c r="JV6" s="93" t="s">
        <v>988</v>
      </c>
      <c r="JW6" s="93" t="s">
        <v>995</v>
      </c>
      <c r="JX6" s="93" t="s">
        <v>988</v>
      </c>
      <c r="JY6" s="93" t="s">
        <v>996</v>
      </c>
      <c r="JZ6" s="93" t="s">
        <v>988</v>
      </c>
      <c r="KA6" s="206"/>
      <c r="KB6" s="207" t="s">
        <v>987</v>
      </c>
      <c r="KC6" s="207" t="s">
        <v>988</v>
      </c>
      <c r="KD6" s="207" t="s">
        <v>989</v>
      </c>
      <c r="KE6" s="207" t="s">
        <v>988</v>
      </c>
      <c r="KF6" s="207" t="s">
        <v>990</v>
      </c>
      <c r="KG6" s="207" t="s">
        <v>988</v>
      </c>
      <c r="KH6" s="207" t="s">
        <v>991</v>
      </c>
      <c r="KI6" s="207" t="s">
        <v>988</v>
      </c>
      <c r="KJ6" s="207" t="s">
        <v>992</v>
      </c>
      <c r="KK6" s="207" t="s">
        <v>988</v>
      </c>
      <c r="KL6" s="207" t="s">
        <v>993</v>
      </c>
      <c r="KM6" s="207" t="s">
        <v>988</v>
      </c>
      <c r="KN6" s="207" t="s">
        <v>994</v>
      </c>
      <c r="KO6" s="207" t="s">
        <v>988</v>
      </c>
      <c r="KP6" s="207" t="s">
        <v>995</v>
      </c>
      <c r="KQ6" s="207" t="s">
        <v>988</v>
      </c>
      <c r="KR6" s="207" t="s">
        <v>996</v>
      </c>
      <c r="KS6" s="207" t="s">
        <v>988</v>
      </c>
      <c r="KT6" s="93" t="s">
        <v>987</v>
      </c>
      <c r="KU6" s="93" t="s">
        <v>988</v>
      </c>
      <c r="KV6" s="93" t="s">
        <v>989</v>
      </c>
      <c r="KW6" s="93" t="s">
        <v>988</v>
      </c>
      <c r="KX6" s="93" t="s">
        <v>990</v>
      </c>
      <c r="KY6" s="93" t="s">
        <v>988</v>
      </c>
      <c r="KZ6" s="93" t="s">
        <v>991</v>
      </c>
      <c r="LA6" s="93" t="s">
        <v>988</v>
      </c>
      <c r="LB6" s="93" t="s">
        <v>992</v>
      </c>
      <c r="LC6" s="93" t="s">
        <v>988</v>
      </c>
      <c r="LD6" s="93" t="s">
        <v>993</v>
      </c>
      <c r="LE6" s="93" t="s">
        <v>988</v>
      </c>
      <c r="LF6" s="93" t="s">
        <v>994</v>
      </c>
      <c r="LG6" s="93" t="s">
        <v>988</v>
      </c>
      <c r="LH6" s="93" t="s">
        <v>995</v>
      </c>
      <c r="LI6" s="93" t="s">
        <v>988</v>
      </c>
      <c r="LJ6" s="93" t="s">
        <v>996</v>
      </c>
      <c r="LK6" s="93" t="s">
        <v>988</v>
      </c>
      <c r="LL6" s="93" t="s">
        <v>987</v>
      </c>
      <c r="LM6" s="93" t="s">
        <v>988</v>
      </c>
      <c r="LN6" s="93" t="s">
        <v>989</v>
      </c>
      <c r="LO6" s="93" t="s">
        <v>988</v>
      </c>
      <c r="LP6" s="93" t="s">
        <v>990</v>
      </c>
      <c r="LQ6" s="93" t="s">
        <v>988</v>
      </c>
      <c r="LR6" s="93" t="s">
        <v>991</v>
      </c>
      <c r="LS6" s="93" t="s">
        <v>988</v>
      </c>
      <c r="LT6" s="93" t="s">
        <v>992</v>
      </c>
      <c r="LU6" s="93" t="s">
        <v>988</v>
      </c>
      <c r="LV6" s="93" t="s">
        <v>993</v>
      </c>
      <c r="LW6" s="93" t="s">
        <v>988</v>
      </c>
      <c r="LX6" s="93" t="s">
        <v>994</v>
      </c>
      <c r="LY6" s="93" t="s">
        <v>988</v>
      </c>
      <c r="LZ6" s="93" t="s">
        <v>995</v>
      </c>
      <c r="MA6" s="93" t="s">
        <v>988</v>
      </c>
      <c r="MB6" s="93" t="s">
        <v>996</v>
      </c>
      <c r="MC6" s="93" t="s">
        <v>988</v>
      </c>
      <c r="MD6" s="1184"/>
    </row>
    <row r="7" spans="2:342" s="71" customFormat="1" ht="21" hidden="1">
      <c r="B7" s="93" t="s">
        <v>85</v>
      </c>
      <c r="C7" s="1136">
        <v>50000</v>
      </c>
      <c r="D7" s="1128"/>
      <c r="E7" s="1128"/>
      <c r="F7" s="1128"/>
      <c r="G7" s="1128"/>
      <c r="H7" s="1128"/>
      <c r="I7" s="1128"/>
      <c r="J7" s="1128"/>
      <c r="K7" s="1128"/>
      <c r="L7" s="1128"/>
      <c r="M7" s="1128"/>
      <c r="N7" s="1128"/>
      <c r="O7" s="1128"/>
      <c r="P7" s="1128"/>
      <c r="Q7" s="1128"/>
      <c r="R7" s="1128"/>
      <c r="S7" s="1128"/>
      <c r="T7" s="1129"/>
      <c r="U7" s="208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6"/>
      <c r="AO7" s="93">
        <v>246</v>
      </c>
      <c r="AP7" s="250" t="s">
        <v>1001</v>
      </c>
      <c r="AQ7" s="251">
        <v>2491.69</v>
      </c>
      <c r="AR7" s="250" t="s">
        <v>1003</v>
      </c>
      <c r="AS7" s="93"/>
      <c r="AT7" s="93"/>
      <c r="AU7" s="93">
        <v>123</v>
      </c>
      <c r="AV7" s="250" t="s">
        <v>1004</v>
      </c>
      <c r="AW7" s="252">
        <v>738.3</v>
      </c>
      <c r="AX7" s="250" t="s">
        <v>1006</v>
      </c>
      <c r="AY7" s="93"/>
      <c r="AZ7" s="93"/>
      <c r="BA7" s="251">
        <v>3000</v>
      </c>
      <c r="BB7" s="250" t="s">
        <v>1007</v>
      </c>
      <c r="BC7" s="93"/>
      <c r="BD7" s="93"/>
      <c r="BE7" s="93"/>
      <c r="BF7" s="93"/>
      <c r="BG7" s="206"/>
      <c r="BH7" s="207">
        <v>492.2</v>
      </c>
      <c r="BI7" s="253" t="s">
        <v>1008</v>
      </c>
      <c r="BJ7" s="255">
        <v>8845.27</v>
      </c>
      <c r="BK7" s="253" t="s">
        <v>1005</v>
      </c>
      <c r="BL7" s="207"/>
      <c r="BM7" s="207"/>
      <c r="BN7" s="207">
        <v>101.65</v>
      </c>
      <c r="BO7" s="253" t="s">
        <v>1009</v>
      </c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6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206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6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206"/>
      <c r="EF7" s="255">
        <v>4808.6400000000003</v>
      </c>
      <c r="EG7" s="253" t="s">
        <v>1011</v>
      </c>
      <c r="EH7" s="255">
        <v>27824.21</v>
      </c>
      <c r="EI7" s="253" t="s">
        <v>1010</v>
      </c>
      <c r="EJ7" s="207"/>
      <c r="EK7" s="207"/>
      <c r="EL7" s="207"/>
      <c r="EM7" s="207"/>
      <c r="EN7" s="207">
        <v>1926</v>
      </c>
      <c r="EO7" s="253" t="s">
        <v>1009</v>
      </c>
      <c r="EP7" s="207"/>
      <c r="EQ7" s="207"/>
      <c r="ER7" s="255">
        <v>8000</v>
      </c>
      <c r="ES7" s="253" t="s">
        <v>1008</v>
      </c>
      <c r="ET7" s="207"/>
      <c r="EU7" s="207"/>
      <c r="EV7" s="207"/>
      <c r="EW7" s="207"/>
      <c r="EX7" s="206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206"/>
      <c r="FR7" s="207"/>
      <c r="FS7" s="207"/>
      <c r="FT7" s="207"/>
      <c r="FU7" s="207"/>
      <c r="FV7" s="207"/>
      <c r="FW7" s="207"/>
      <c r="FX7" s="207"/>
      <c r="FY7" s="207"/>
      <c r="FZ7" s="207"/>
      <c r="GA7" s="207"/>
      <c r="GB7" s="207"/>
      <c r="GC7" s="207"/>
      <c r="GD7" s="207"/>
      <c r="GE7" s="207"/>
      <c r="GF7" s="207"/>
      <c r="GG7" s="207"/>
      <c r="GH7" s="207"/>
      <c r="GI7" s="207"/>
      <c r="GJ7" s="206"/>
      <c r="GK7" s="93"/>
      <c r="GL7" s="93"/>
      <c r="GM7" s="251">
        <v>7619.58</v>
      </c>
      <c r="GN7" s="250" t="s">
        <v>1006</v>
      </c>
      <c r="GO7" s="93"/>
      <c r="GP7" s="93"/>
      <c r="GQ7" s="93">
        <v>480.43</v>
      </c>
      <c r="GR7" s="250" t="s">
        <v>1011</v>
      </c>
      <c r="GS7" s="251">
        <v>3210</v>
      </c>
      <c r="GT7" s="250" t="s">
        <v>1001</v>
      </c>
      <c r="GU7" s="93"/>
      <c r="GV7" s="93"/>
      <c r="GW7" s="251">
        <v>3000</v>
      </c>
      <c r="GX7" s="250" t="s">
        <v>1004</v>
      </c>
      <c r="GY7" s="93"/>
      <c r="GZ7" s="93"/>
      <c r="HA7" s="93"/>
      <c r="HB7" s="93"/>
      <c r="HC7" s="206"/>
      <c r="HD7" s="207"/>
      <c r="HE7" s="207"/>
      <c r="HF7" s="207"/>
      <c r="HG7" s="207"/>
      <c r="HH7" s="207"/>
      <c r="HI7" s="207"/>
      <c r="HJ7" s="207"/>
      <c r="HK7" s="207"/>
      <c r="HL7" s="207"/>
      <c r="HM7" s="207"/>
      <c r="HN7" s="207"/>
      <c r="HO7" s="207"/>
      <c r="HP7" s="207"/>
      <c r="HQ7" s="207"/>
      <c r="HR7" s="207"/>
      <c r="HS7" s="207"/>
      <c r="HT7" s="207"/>
      <c r="HU7" s="207"/>
      <c r="HV7" s="206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206"/>
      <c r="IP7" s="207"/>
      <c r="IQ7" s="207"/>
      <c r="IR7" s="255">
        <v>8807.6200000000008</v>
      </c>
      <c r="IS7" s="253" t="s">
        <v>1012</v>
      </c>
      <c r="IT7" s="207"/>
      <c r="IU7" s="207"/>
      <c r="IV7" s="207">
        <v>203.3</v>
      </c>
      <c r="IW7" s="253" t="s">
        <v>1013</v>
      </c>
      <c r="IX7" s="255">
        <v>2782</v>
      </c>
      <c r="IY7" s="253" t="s">
        <v>1014</v>
      </c>
      <c r="IZ7" s="207"/>
      <c r="JA7" s="207"/>
      <c r="JB7" s="207"/>
      <c r="JC7" s="207"/>
      <c r="JD7" s="207"/>
      <c r="JE7" s="207"/>
      <c r="JF7" s="207"/>
      <c r="JG7" s="207"/>
      <c r="JH7" s="206"/>
      <c r="JI7" s="93"/>
      <c r="JJ7" s="93"/>
      <c r="JK7" s="93">
        <v>1890.33</v>
      </c>
      <c r="JL7" s="250" t="s">
        <v>1015</v>
      </c>
      <c r="JM7" s="93"/>
      <c r="JN7" s="93"/>
      <c r="JO7" s="93"/>
      <c r="JP7" s="93"/>
      <c r="JQ7" s="93"/>
      <c r="JR7" s="93"/>
      <c r="JS7" s="251">
        <v>12000</v>
      </c>
      <c r="JT7" s="250" t="s">
        <v>1016</v>
      </c>
      <c r="JU7" s="251">
        <v>2500</v>
      </c>
      <c r="JV7" s="250" t="s">
        <v>1017</v>
      </c>
      <c r="JW7" s="93"/>
      <c r="JX7" s="93"/>
      <c r="JY7" s="93"/>
      <c r="JZ7" s="93"/>
      <c r="KA7" s="206"/>
      <c r="KB7" s="207"/>
      <c r="KC7" s="207"/>
      <c r="KD7" s="207"/>
      <c r="KE7" s="207"/>
      <c r="KF7" s="207"/>
      <c r="KG7" s="207"/>
      <c r="KH7" s="207"/>
      <c r="KI7" s="207"/>
      <c r="KJ7" s="207"/>
      <c r="KK7" s="207"/>
      <c r="KL7" s="207"/>
      <c r="KM7" s="207"/>
      <c r="KN7" s="255">
        <v>3000</v>
      </c>
      <c r="KO7" s="253" t="s">
        <v>1018</v>
      </c>
      <c r="KP7" s="207"/>
      <c r="KQ7" s="207"/>
      <c r="KR7" s="207"/>
      <c r="KS7" s="207"/>
      <c r="KT7" s="93"/>
      <c r="KU7" s="93"/>
      <c r="KV7" s="93"/>
      <c r="KW7" s="93"/>
      <c r="KX7" s="93"/>
      <c r="KY7" s="93"/>
      <c r="KZ7" s="93"/>
      <c r="LA7" s="93"/>
      <c r="LB7" s="93"/>
      <c r="LC7" s="93"/>
      <c r="LD7" s="93"/>
      <c r="LE7" s="93"/>
      <c r="LF7" s="93"/>
      <c r="LG7" s="93"/>
      <c r="LH7" s="93"/>
      <c r="LI7" s="93"/>
      <c r="LJ7" s="93"/>
      <c r="LK7" s="93"/>
      <c r="LL7" s="93"/>
      <c r="LM7" s="93"/>
      <c r="LN7" s="93"/>
      <c r="LO7" s="93"/>
      <c r="LP7" s="93"/>
      <c r="LQ7" s="93"/>
      <c r="LR7" s="93"/>
      <c r="LS7" s="93"/>
      <c r="LT7" s="93"/>
      <c r="LU7" s="93"/>
      <c r="LV7" s="93"/>
      <c r="LW7" s="93"/>
      <c r="LX7" s="93"/>
      <c r="LY7" s="93"/>
      <c r="LZ7" s="93"/>
      <c r="MA7" s="93"/>
      <c r="MB7" s="93"/>
      <c r="MC7" s="93"/>
      <c r="MD7" s="82">
        <f>C7+E7+G7+I7+K7+M7+O7+Q7+S7+V7+X7+Z7+AB7+AD7+AF7+AH7+AJ7+AL7+AO7+AQ7+AS7+AU7+AW7+AY7+BA7+BC7+BE7+BH7+BL7+BJ7+BN7+BP7+BR7+BT7+BV7+BX7+CA7+CC7+CE7+CG7+CI7+CK7+CM7+CO7+CQ7+CT7+CV7+CX7+CZ7+DB7+DD7+DF7+DH7+DJ7+DM7+DO7+DQ7+DS7+DU7+DW7+DY7+EC7++EA7+EF7+EH7+EJ7+EL7+EN7+EP7+ER7+ET7+EV7+EY7+FA7+FC7+FE7+FG7+FI7+FK7+FM7+FO7+FR7+FT7+FV7+FX7+FZ7+GB7+GD7+GF7+GH7+GK7+GM7+GO7+GQ7+GS7+GU7+GW7+GY7+HA7+HD7+HF7+HH7+HJ7+HL7+HN7+HP7+HR7+HT7+HW7+HY7+IA7+IC7+IE7+IG7+II7+IK7+IM7+IP7+IR7+IT7+IV7+IX7+IZ7+JB7+JD7+JI7++JF7+JK7+JM7+JO7+JQ7+JS7+JU7+JW7+JY7+KB7+KD7+KF7+KH7+KJ7+KL7+KN7+KP7+KR7</f>
        <v>154090.21999999997</v>
      </c>
    </row>
    <row r="8" spans="2:342" s="71" customFormat="1" ht="21" hidden="1">
      <c r="B8" s="1176">
        <v>243223</v>
      </c>
      <c r="C8" s="82"/>
      <c r="D8" s="82"/>
      <c r="E8" s="82">
        <v>28155.31</v>
      </c>
      <c r="F8" s="213" t="s">
        <v>1002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209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09"/>
      <c r="AO8" s="82"/>
      <c r="AP8" s="82"/>
      <c r="AQ8" s="82"/>
      <c r="AR8" s="82"/>
      <c r="AS8" s="82"/>
      <c r="AT8" s="82"/>
      <c r="AU8" s="82">
        <v>321</v>
      </c>
      <c r="AV8" s="213" t="s">
        <v>1005</v>
      </c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209"/>
      <c r="BH8" s="210"/>
      <c r="BI8" s="210"/>
      <c r="BJ8" s="210"/>
      <c r="BK8" s="210"/>
      <c r="BL8" s="210"/>
      <c r="BM8" s="210"/>
      <c r="BN8" s="210">
        <v>3000</v>
      </c>
      <c r="BO8" s="254" t="s">
        <v>1010</v>
      </c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09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209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09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209"/>
      <c r="EF8" s="210">
        <v>577.79999999999995</v>
      </c>
      <c r="EG8" s="254" t="s">
        <v>1005</v>
      </c>
      <c r="EH8" s="210"/>
      <c r="EI8" s="210"/>
      <c r="EJ8" s="210"/>
      <c r="EK8" s="210"/>
      <c r="EL8" s="210"/>
      <c r="EM8" s="210"/>
      <c r="EN8" s="210">
        <v>1498</v>
      </c>
      <c r="EO8" s="254" t="s">
        <v>1007</v>
      </c>
      <c r="EP8" s="210"/>
      <c r="EQ8" s="210"/>
      <c r="ER8" s="210"/>
      <c r="ES8" s="210"/>
      <c r="ET8" s="210"/>
      <c r="EU8" s="210"/>
      <c r="EV8" s="210"/>
      <c r="EW8" s="210"/>
      <c r="EX8" s="209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209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09"/>
      <c r="GK8" s="82"/>
      <c r="GL8" s="82"/>
      <c r="GM8" s="82"/>
      <c r="GN8" s="82"/>
      <c r="GO8" s="82"/>
      <c r="GP8" s="82"/>
      <c r="GQ8" s="82">
        <v>214</v>
      </c>
      <c r="GR8" s="213" t="s">
        <v>1007</v>
      </c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209"/>
      <c r="HD8" s="210"/>
      <c r="HE8" s="210"/>
      <c r="HF8" s="210"/>
      <c r="HG8" s="210"/>
      <c r="HH8" s="210"/>
      <c r="HI8" s="210"/>
      <c r="HJ8" s="210"/>
      <c r="HK8" s="210"/>
      <c r="HL8" s="210"/>
      <c r="HM8" s="210"/>
      <c r="HN8" s="210"/>
      <c r="HO8" s="210"/>
      <c r="HP8" s="210"/>
      <c r="HQ8" s="210"/>
      <c r="HR8" s="210"/>
      <c r="HS8" s="210"/>
      <c r="HT8" s="210"/>
      <c r="HU8" s="210"/>
      <c r="HV8" s="209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209"/>
      <c r="IP8" s="210"/>
      <c r="IQ8" s="210"/>
      <c r="IR8" s="210"/>
      <c r="IS8" s="210"/>
      <c r="IT8" s="210"/>
      <c r="IU8" s="210"/>
      <c r="IV8" s="210"/>
      <c r="IW8" s="210"/>
      <c r="IX8" s="210"/>
      <c r="IY8" s="210"/>
      <c r="IZ8" s="210"/>
      <c r="JA8" s="210"/>
      <c r="JB8" s="210"/>
      <c r="JC8" s="210"/>
      <c r="JD8" s="210"/>
      <c r="JE8" s="210"/>
      <c r="JF8" s="210"/>
      <c r="JG8" s="210"/>
      <c r="JH8" s="209"/>
      <c r="JI8" s="82"/>
      <c r="JJ8" s="82"/>
      <c r="JK8" s="82"/>
      <c r="JL8" s="82"/>
      <c r="JM8" s="82"/>
      <c r="JN8" s="82"/>
      <c r="JO8" s="82"/>
      <c r="JP8" s="82"/>
      <c r="JQ8" s="82"/>
      <c r="JR8" s="82"/>
      <c r="JS8" s="82"/>
      <c r="JT8" s="82"/>
      <c r="JU8" s="82"/>
      <c r="JV8" s="82"/>
      <c r="JW8" s="82"/>
      <c r="JX8" s="82"/>
      <c r="JY8" s="82"/>
      <c r="JZ8" s="82"/>
      <c r="KA8" s="209"/>
      <c r="KB8" s="210"/>
      <c r="KC8" s="210"/>
      <c r="KD8" s="210"/>
      <c r="KE8" s="210"/>
      <c r="KF8" s="210"/>
      <c r="KG8" s="210"/>
      <c r="KH8" s="210"/>
      <c r="KI8" s="210"/>
      <c r="KJ8" s="210"/>
      <c r="KK8" s="210"/>
      <c r="KL8" s="210"/>
      <c r="KM8" s="210"/>
      <c r="KN8" s="210">
        <v>3000</v>
      </c>
      <c r="KO8" s="254" t="s">
        <v>1012</v>
      </c>
      <c r="KP8" s="210"/>
      <c r="KQ8" s="210"/>
      <c r="KR8" s="210"/>
      <c r="KS8" s="210"/>
      <c r="KT8" s="82"/>
      <c r="KU8" s="82"/>
      <c r="KV8" s="82"/>
      <c r="KW8" s="82"/>
      <c r="KX8" s="82"/>
      <c r="KY8" s="82"/>
      <c r="KZ8" s="82"/>
      <c r="LA8" s="82"/>
      <c r="LB8" s="82"/>
      <c r="LC8" s="82"/>
      <c r="LD8" s="82"/>
      <c r="LE8" s="82"/>
      <c r="LF8" s="82"/>
      <c r="LG8" s="82"/>
      <c r="LH8" s="82"/>
      <c r="LI8" s="82"/>
      <c r="LJ8" s="82"/>
      <c r="LK8" s="82"/>
      <c r="LL8" s="82"/>
      <c r="LM8" s="82"/>
      <c r="LN8" s="82"/>
      <c r="LO8" s="82"/>
      <c r="LP8" s="82"/>
      <c r="LQ8" s="82"/>
      <c r="LR8" s="82"/>
      <c r="LS8" s="82"/>
      <c r="LT8" s="82"/>
      <c r="LU8" s="82"/>
      <c r="LV8" s="82"/>
      <c r="LW8" s="82"/>
      <c r="LX8" s="82"/>
      <c r="LY8" s="82"/>
      <c r="LZ8" s="82"/>
      <c r="MA8" s="82"/>
      <c r="MB8" s="82"/>
      <c r="MC8" s="82"/>
      <c r="MD8" s="82">
        <f t="shared" ref="MD8:MD30" si="0">C8+E8+G8+I8+K8+M8+O8+Q8+S8+V8+X8+Z8+AB8+AD8+AF8+AH8+AJ8+AL8+AO8+AQ8+AS8+AU8+AW8+AY8+BA8+BC8+BE8+BH8+BL8+BJ8+BN8+BP8+BR8+BT8+BV8+BX8+CA8+CC8+CE8+CG8+CI8+CK8+CM8+CO8+CQ8+CT8+CV8+CX8+CZ8+DB8+DD8+DF8+DH8+DJ8+DM8+DO8+DQ8+DS8+DU8+DW8+DY8+EC8++EA8+EF8+EH8+EJ8+EL8+EN8+EP8+ER8+ET8+EV8+EY8+FA8+FC8+FE8+FG8+FI8+FK8+FM8+FO8+FR8+FT8+FV8+FX8+FZ8+GB8+GD8+GF8+GH8+GK8+GM8+GO8+GQ8+GS8+GU8+GW8+GY8+HA8+HD8+HF8+HH8+HJ8+HL8+HN8+HP8+HR8+HT8+HW8+HY8+IA8+IC8+IE8+IG8+II8+IK8+IM8+IP8+IR8+IT8+IV8+IX8+IZ8+JB8+JD8+JI8++JF8+JK8+JM8+JO8+JQ8+JS8+JU8+JW8+JY8+KB8+KD8+KF8+KH8+KJ8+KL8+KN8+KP8+KR8</f>
        <v>36766.11</v>
      </c>
    </row>
    <row r="9" spans="2:342" s="71" customFormat="1" ht="21" hidden="1">
      <c r="B9" s="1177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209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09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209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09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209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09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209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0"/>
      <c r="ET9" s="210"/>
      <c r="EU9" s="210"/>
      <c r="EV9" s="210"/>
      <c r="EW9" s="210"/>
      <c r="EX9" s="209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209"/>
      <c r="FR9" s="210"/>
      <c r="FS9" s="210"/>
      <c r="FT9" s="210"/>
      <c r="FU9" s="210"/>
      <c r="FV9" s="210"/>
      <c r="FW9" s="210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09"/>
      <c r="GK9" s="82"/>
      <c r="GL9" s="82"/>
      <c r="GM9" s="82"/>
      <c r="GN9" s="82"/>
      <c r="GO9" s="82"/>
      <c r="GP9" s="82"/>
      <c r="GQ9" s="82">
        <v>1068.93</v>
      </c>
      <c r="GR9" s="256" t="s">
        <v>1005</v>
      </c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209"/>
      <c r="HD9" s="210"/>
      <c r="HE9" s="210"/>
      <c r="HF9" s="210"/>
      <c r="HG9" s="210"/>
      <c r="HH9" s="210"/>
      <c r="HI9" s="210"/>
      <c r="HJ9" s="210"/>
      <c r="HK9" s="210"/>
      <c r="HL9" s="210"/>
      <c r="HM9" s="210"/>
      <c r="HN9" s="210"/>
      <c r="HO9" s="210"/>
      <c r="HP9" s="210"/>
      <c r="HQ9" s="210"/>
      <c r="HR9" s="210"/>
      <c r="HS9" s="210"/>
      <c r="HT9" s="210"/>
      <c r="HU9" s="210"/>
      <c r="HV9" s="209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209"/>
      <c r="IP9" s="210"/>
      <c r="IQ9" s="210"/>
      <c r="IR9" s="210"/>
      <c r="IS9" s="210"/>
      <c r="IT9" s="210"/>
      <c r="IU9" s="210"/>
      <c r="IV9" s="210"/>
      <c r="IW9" s="210"/>
      <c r="IX9" s="210"/>
      <c r="IY9" s="210"/>
      <c r="IZ9" s="210"/>
      <c r="JA9" s="210"/>
      <c r="JB9" s="210"/>
      <c r="JC9" s="210"/>
      <c r="JD9" s="210"/>
      <c r="JE9" s="210"/>
      <c r="JF9" s="210"/>
      <c r="JG9" s="210"/>
      <c r="JH9" s="209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2"/>
      <c r="JW9" s="82"/>
      <c r="JX9" s="82"/>
      <c r="JY9" s="82"/>
      <c r="JZ9" s="82"/>
      <c r="KA9" s="209"/>
      <c r="KB9" s="210"/>
      <c r="KC9" s="210"/>
      <c r="KD9" s="210"/>
      <c r="KE9" s="210"/>
      <c r="KF9" s="210"/>
      <c r="KG9" s="210"/>
      <c r="KH9" s="210"/>
      <c r="KI9" s="210"/>
      <c r="KJ9" s="210"/>
      <c r="KK9" s="210"/>
      <c r="KL9" s="210"/>
      <c r="KM9" s="210"/>
      <c r="KN9" s="210"/>
      <c r="KO9" s="210"/>
      <c r="KP9" s="210"/>
      <c r="KQ9" s="210"/>
      <c r="KR9" s="210"/>
      <c r="KS9" s="210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2"/>
      <c r="LP9" s="82"/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>
        <f t="shared" si="0"/>
        <v>1068.93</v>
      </c>
    </row>
    <row r="10" spans="2:342" s="71" customFormat="1" ht="21" hidden="1">
      <c r="B10" s="1176">
        <v>243254</v>
      </c>
      <c r="C10" s="82">
        <v>325.27999999999997</v>
      </c>
      <c r="D10" s="82" t="s">
        <v>1217</v>
      </c>
      <c r="E10" s="82">
        <v>13898.48</v>
      </c>
      <c r="F10" s="82" t="s">
        <v>1213</v>
      </c>
      <c r="G10" s="82"/>
      <c r="H10" s="82"/>
      <c r="I10" s="82">
        <v>2725.29</v>
      </c>
      <c r="J10" s="82" t="s">
        <v>1219</v>
      </c>
      <c r="K10" s="82">
        <v>1923.72</v>
      </c>
      <c r="L10" s="82" t="s">
        <v>1224</v>
      </c>
      <c r="M10" s="82"/>
      <c r="N10" s="82"/>
      <c r="O10" s="82"/>
      <c r="P10" s="82"/>
      <c r="Q10" s="82"/>
      <c r="R10" s="82"/>
      <c r="S10" s="82"/>
      <c r="T10" s="82"/>
      <c r="U10" s="209"/>
      <c r="V10" s="210"/>
      <c r="W10" s="210"/>
      <c r="X10" s="210">
        <v>5544.26</v>
      </c>
      <c r="Y10" s="210" t="s">
        <v>1016</v>
      </c>
      <c r="Z10" s="210"/>
      <c r="AA10" s="210"/>
      <c r="AB10" s="210">
        <v>101.65</v>
      </c>
      <c r="AC10" s="210" t="s">
        <v>1002</v>
      </c>
      <c r="AD10" s="210">
        <v>732.95</v>
      </c>
      <c r="AE10" s="210" t="s">
        <v>1215</v>
      </c>
      <c r="AF10" s="210"/>
      <c r="AG10" s="210"/>
      <c r="AH10" s="210"/>
      <c r="AI10" s="210"/>
      <c r="AJ10" s="210"/>
      <c r="AK10" s="210"/>
      <c r="AL10" s="210"/>
      <c r="AM10" s="210"/>
      <c r="AN10" s="209"/>
      <c r="AO10" s="82"/>
      <c r="AP10" s="82"/>
      <c r="AQ10" s="82">
        <v>3223.25</v>
      </c>
      <c r="AR10" s="82" t="s">
        <v>1016</v>
      </c>
      <c r="AS10" s="82"/>
      <c r="AT10" s="82"/>
      <c r="AU10" s="82">
        <v>481</v>
      </c>
      <c r="AV10" s="82" t="s">
        <v>1215</v>
      </c>
      <c r="AW10" s="82">
        <v>738.3</v>
      </c>
      <c r="AX10" s="82" t="s">
        <v>1223</v>
      </c>
      <c r="AY10" s="82"/>
      <c r="AZ10" s="82"/>
      <c r="BA10" s="82">
        <v>3000</v>
      </c>
      <c r="BB10" s="82" t="s">
        <v>1226</v>
      </c>
      <c r="BC10" s="82">
        <v>7360</v>
      </c>
      <c r="BD10" s="82" t="s">
        <v>1225</v>
      </c>
      <c r="BE10" s="82"/>
      <c r="BF10" s="82"/>
      <c r="BG10" s="209"/>
      <c r="BH10" s="210"/>
      <c r="BI10" s="210"/>
      <c r="BJ10" s="210">
        <v>6346.6</v>
      </c>
      <c r="BK10" s="210" t="s">
        <v>1214</v>
      </c>
      <c r="BL10" s="210"/>
      <c r="BM10" s="210"/>
      <c r="BN10" s="210">
        <v>983.33</v>
      </c>
      <c r="BO10" s="210" t="s">
        <v>1220</v>
      </c>
      <c r="BP10" s="210"/>
      <c r="BQ10" s="210"/>
      <c r="BR10" s="210"/>
      <c r="BS10" s="210"/>
      <c r="BT10" s="210">
        <v>3000</v>
      </c>
      <c r="BU10" s="210" t="s">
        <v>1227</v>
      </c>
      <c r="BV10" s="210"/>
      <c r="BW10" s="210"/>
      <c r="BX10" s="210"/>
      <c r="BY10" s="210"/>
      <c r="BZ10" s="209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209"/>
      <c r="CT10" s="210">
        <v>192.6</v>
      </c>
      <c r="CU10" s="210" t="s">
        <v>1011</v>
      </c>
      <c r="CV10" s="210">
        <v>4434.92</v>
      </c>
      <c r="CW10" s="210" t="s">
        <v>1007</v>
      </c>
      <c r="CX10" s="210"/>
      <c r="CY10" s="210"/>
      <c r="CZ10" s="210">
        <v>1067.75</v>
      </c>
      <c r="DA10" s="210" t="s">
        <v>1001</v>
      </c>
      <c r="DB10" s="210"/>
      <c r="DC10" s="210"/>
      <c r="DD10" s="210">
        <v>7500</v>
      </c>
      <c r="DE10" s="210" t="s">
        <v>1008</v>
      </c>
      <c r="DF10" s="210"/>
      <c r="DG10" s="210"/>
      <c r="DH10" s="210"/>
      <c r="DI10" s="210"/>
      <c r="DJ10" s="210"/>
      <c r="DK10" s="210"/>
      <c r="DL10" s="209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>
        <v>39000</v>
      </c>
      <c r="DX10" s="82" t="s">
        <v>1016</v>
      </c>
      <c r="DY10" s="82"/>
      <c r="DZ10" s="82"/>
      <c r="EA10" s="82"/>
      <c r="EB10" s="82"/>
      <c r="EC10" s="82"/>
      <c r="ED10" s="82"/>
      <c r="EE10" s="209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0"/>
      <c r="ES10" s="210"/>
      <c r="ET10" s="210"/>
      <c r="EU10" s="210"/>
      <c r="EV10" s="210"/>
      <c r="EW10" s="210"/>
      <c r="EX10" s="209"/>
      <c r="EY10" s="82"/>
      <c r="EZ10" s="82"/>
      <c r="FA10" s="82">
        <v>3791.69</v>
      </c>
      <c r="FB10" s="82" t="s">
        <v>1006</v>
      </c>
      <c r="FC10" s="82"/>
      <c r="FD10" s="82"/>
      <c r="FE10" s="82">
        <v>101.65</v>
      </c>
      <c r="FF10" s="82" t="s">
        <v>1004</v>
      </c>
      <c r="FG10" s="82"/>
      <c r="FH10" s="82"/>
      <c r="FI10" s="82"/>
      <c r="FJ10" s="82"/>
      <c r="FK10" s="82">
        <v>6000</v>
      </c>
      <c r="FL10" s="82" t="s">
        <v>1001</v>
      </c>
      <c r="FM10" s="82"/>
      <c r="FN10" s="82"/>
      <c r="FO10" s="82"/>
      <c r="FP10" s="82"/>
      <c r="FQ10" s="209"/>
      <c r="FR10" s="210"/>
      <c r="FS10" s="210"/>
      <c r="FT10" s="210">
        <v>4782.04</v>
      </c>
      <c r="FU10" s="210" t="s">
        <v>1008</v>
      </c>
      <c r="FV10" s="210"/>
      <c r="FW10" s="210"/>
      <c r="FX10" s="210"/>
      <c r="FY10" s="210"/>
      <c r="FZ10" s="210"/>
      <c r="GA10" s="210"/>
      <c r="GB10" s="210"/>
      <c r="GC10" s="210"/>
      <c r="GD10" s="210">
        <v>3000</v>
      </c>
      <c r="GE10" s="210" t="s">
        <v>1009</v>
      </c>
      <c r="GF10" s="210"/>
      <c r="GG10" s="210"/>
      <c r="GH10" s="210"/>
      <c r="GI10" s="210"/>
      <c r="GJ10" s="209"/>
      <c r="GK10" s="82"/>
      <c r="GL10" s="82"/>
      <c r="GM10" s="82">
        <v>3080.52</v>
      </c>
      <c r="GN10" s="82" t="s">
        <v>1215</v>
      </c>
      <c r="GO10" s="82"/>
      <c r="GP10" s="82"/>
      <c r="GQ10" s="82">
        <v>107</v>
      </c>
      <c r="GR10" s="256" t="s">
        <v>1223</v>
      </c>
      <c r="GS10" s="82">
        <v>1605</v>
      </c>
      <c r="GT10" s="82" t="s">
        <v>1002</v>
      </c>
      <c r="GU10" s="82"/>
      <c r="GV10" s="82"/>
      <c r="GW10" s="82"/>
      <c r="GX10" s="82"/>
      <c r="GY10" s="82"/>
      <c r="GZ10" s="82"/>
      <c r="HA10" s="82"/>
      <c r="HB10" s="82"/>
      <c r="HC10" s="209"/>
      <c r="HD10" s="210"/>
      <c r="HE10" s="210"/>
      <c r="HF10" s="210"/>
      <c r="HG10" s="210"/>
      <c r="HH10" s="210"/>
      <c r="HI10" s="210"/>
      <c r="HJ10" s="210"/>
      <c r="HK10" s="210"/>
      <c r="HL10" s="210"/>
      <c r="HM10" s="210"/>
      <c r="HN10" s="210"/>
      <c r="HO10" s="210"/>
      <c r="HP10" s="210"/>
      <c r="HQ10" s="210"/>
      <c r="HR10" s="210"/>
      <c r="HS10" s="210"/>
      <c r="HT10" s="210"/>
      <c r="HU10" s="210"/>
      <c r="HV10" s="209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209"/>
      <c r="IP10" s="210">
        <v>240</v>
      </c>
      <c r="IQ10" s="210" t="s">
        <v>1005</v>
      </c>
      <c r="IR10" s="210">
        <v>5418.18</v>
      </c>
      <c r="IS10" s="210" t="s">
        <v>1011</v>
      </c>
      <c r="IT10" s="210"/>
      <c r="IU10" s="210"/>
      <c r="IV10" s="210"/>
      <c r="IW10" s="210"/>
      <c r="IX10" s="210"/>
      <c r="IY10" s="210"/>
      <c r="IZ10" s="210"/>
      <c r="JA10" s="210"/>
      <c r="JB10" s="210"/>
      <c r="JC10" s="210"/>
      <c r="JD10" s="210">
        <v>8000</v>
      </c>
      <c r="JE10" s="210" t="s">
        <v>1009</v>
      </c>
      <c r="JF10" s="210"/>
      <c r="JG10" s="210"/>
      <c r="JH10" s="209"/>
      <c r="JI10" s="82">
        <v>202</v>
      </c>
      <c r="JJ10" s="82" t="s">
        <v>1218</v>
      </c>
      <c r="JK10" s="82">
        <v>1300.01</v>
      </c>
      <c r="JL10" s="82" t="s">
        <v>1216</v>
      </c>
      <c r="JM10" s="82"/>
      <c r="JN10" s="82"/>
      <c r="JO10" s="82">
        <v>406.6</v>
      </c>
      <c r="JP10" s="82" t="s">
        <v>1213</v>
      </c>
      <c r="JQ10" s="82"/>
      <c r="JR10" s="82"/>
      <c r="JS10" s="82">
        <v>10000</v>
      </c>
      <c r="JT10" s="82" t="s">
        <v>1230</v>
      </c>
      <c r="JU10" s="82">
        <v>2500</v>
      </c>
      <c r="JV10" s="82" t="s">
        <v>1229</v>
      </c>
      <c r="JW10" s="82"/>
      <c r="JX10" s="82"/>
      <c r="JY10" s="82"/>
      <c r="JZ10" s="82"/>
      <c r="KA10" s="209"/>
      <c r="KB10" s="210"/>
      <c r="KC10" s="210"/>
      <c r="KD10" s="210"/>
      <c r="KE10" s="210"/>
      <c r="KF10" s="210"/>
      <c r="KG10" s="210"/>
      <c r="KH10" s="210"/>
      <c r="KI10" s="210"/>
      <c r="KJ10" s="210"/>
      <c r="KK10" s="210"/>
      <c r="KL10" s="210"/>
      <c r="KM10" s="210"/>
      <c r="KN10" s="210">
        <v>3000</v>
      </c>
      <c r="KO10" s="210" t="s">
        <v>1001</v>
      </c>
      <c r="KP10" s="210"/>
      <c r="KQ10" s="210"/>
      <c r="KR10" s="210"/>
      <c r="KS10" s="210"/>
      <c r="KT10" s="82"/>
      <c r="KU10" s="82"/>
      <c r="KV10" s="82"/>
      <c r="KW10" s="82"/>
      <c r="KX10" s="82"/>
      <c r="KY10" s="82"/>
      <c r="KZ10" s="82"/>
      <c r="LA10" s="82"/>
      <c r="LB10" s="82"/>
      <c r="LC10" s="82"/>
      <c r="LD10" s="82"/>
      <c r="LE10" s="82"/>
      <c r="LF10" s="82"/>
      <c r="LG10" s="82"/>
      <c r="LH10" s="82"/>
      <c r="LI10" s="82"/>
      <c r="LJ10" s="82"/>
      <c r="LK10" s="82"/>
      <c r="LL10" s="82"/>
      <c r="LM10" s="82"/>
      <c r="LN10" s="82"/>
      <c r="LO10" s="82"/>
      <c r="LP10" s="82"/>
      <c r="LQ10" s="82"/>
      <c r="LR10" s="82"/>
      <c r="LS10" s="82"/>
      <c r="LT10" s="82"/>
      <c r="LU10" s="82"/>
      <c r="LV10" s="82"/>
      <c r="LW10" s="82"/>
      <c r="LX10" s="82"/>
      <c r="LY10" s="82"/>
      <c r="LZ10" s="82"/>
      <c r="MA10" s="82"/>
      <c r="MB10" s="82"/>
      <c r="MC10" s="82"/>
      <c r="MD10" s="82">
        <f t="shared" si="0"/>
        <v>156114.07</v>
      </c>
    </row>
    <row r="11" spans="2:342" s="71" customFormat="1" ht="21" hidden="1">
      <c r="B11" s="11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209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09"/>
      <c r="AO11" s="82"/>
      <c r="AP11" s="82"/>
      <c r="AQ11" s="82"/>
      <c r="AR11" s="82"/>
      <c r="AS11" s="82"/>
      <c r="AT11" s="82"/>
      <c r="AU11" s="82">
        <v>110.8</v>
      </c>
      <c r="AV11" s="82" t="s">
        <v>1002</v>
      </c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209"/>
      <c r="BH11" s="210"/>
      <c r="BI11" s="210"/>
      <c r="BJ11" s="210"/>
      <c r="BK11" s="210"/>
      <c r="BL11" s="210"/>
      <c r="BM11" s="210"/>
      <c r="BN11" s="210">
        <v>983.33</v>
      </c>
      <c r="BO11" s="210" t="s">
        <v>1221</v>
      </c>
      <c r="BP11" s="210"/>
      <c r="BQ11" s="210"/>
      <c r="BR11" s="210"/>
      <c r="BS11" s="210"/>
      <c r="BT11" s="210">
        <v>3000</v>
      </c>
      <c r="BU11" s="210" t="s">
        <v>1228</v>
      </c>
      <c r="BV11" s="210"/>
      <c r="BW11" s="210"/>
      <c r="BX11" s="210"/>
      <c r="BY11" s="210"/>
      <c r="BZ11" s="209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209"/>
      <c r="CT11" s="210">
        <v>192.6</v>
      </c>
      <c r="CU11" s="210" t="s">
        <v>1015</v>
      </c>
      <c r="CV11" s="210"/>
      <c r="CW11" s="210"/>
      <c r="CX11" s="210"/>
      <c r="CY11" s="210"/>
      <c r="CZ11" s="210"/>
      <c r="DA11" s="210"/>
      <c r="DB11" s="210"/>
      <c r="DC11" s="210"/>
      <c r="DD11" s="210">
        <v>29290</v>
      </c>
      <c r="DE11" s="210" t="s">
        <v>1005</v>
      </c>
      <c r="DF11" s="210"/>
      <c r="DG11" s="210"/>
      <c r="DH11" s="210"/>
      <c r="DI11" s="210"/>
      <c r="DJ11" s="210"/>
      <c r="DK11" s="210"/>
      <c r="DL11" s="209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209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09"/>
      <c r="EY11" s="82"/>
      <c r="EZ11" s="82"/>
      <c r="FA11" s="82"/>
      <c r="FB11" s="82"/>
      <c r="FC11" s="82"/>
      <c r="FD11" s="82"/>
      <c r="FE11" s="82">
        <v>104.7</v>
      </c>
      <c r="FF11" s="82" t="s">
        <v>1016</v>
      </c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209"/>
      <c r="FR11" s="210"/>
      <c r="FS11" s="210"/>
      <c r="FT11" s="210"/>
      <c r="FU11" s="210"/>
      <c r="FV11" s="210"/>
      <c r="FW11" s="210"/>
      <c r="FX11" s="210"/>
      <c r="FY11" s="210"/>
      <c r="FZ11" s="210"/>
      <c r="GA11" s="210"/>
      <c r="GB11" s="210"/>
      <c r="GC11" s="210"/>
      <c r="GD11" s="210"/>
      <c r="GE11" s="210"/>
      <c r="GF11" s="210"/>
      <c r="GG11" s="210"/>
      <c r="GH11" s="210"/>
      <c r="GI11" s="210"/>
      <c r="GJ11" s="209"/>
      <c r="GK11" s="82"/>
      <c r="GL11" s="82"/>
      <c r="GM11" s="82"/>
      <c r="GN11" s="82"/>
      <c r="GO11" s="82"/>
      <c r="GP11" s="82"/>
      <c r="GQ11" s="82"/>
      <c r="GR11" s="256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209"/>
      <c r="HD11" s="210"/>
      <c r="HE11" s="210"/>
      <c r="HF11" s="210"/>
      <c r="HG11" s="210"/>
      <c r="HH11" s="210"/>
      <c r="HI11" s="210"/>
      <c r="HJ11" s="210"/>
      <c r="HK11" s="210"/>
      <c r="HL11" s="210"/>
      <c r="HM11" s="210"/>
      <c r="HN11" s="210"/>
      <c r="HO11" s="210"/>
      <c r="HP11" s="210"/>
      <c r="HQ11" s="210"/>
      <c r="HR11" s="210"/>
      <c r="HS11" s="210"/>
      <c r="HT11" s="210"/>
      <c r="HU11" s="210"/>
      <c r="HV11" s="209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209"/>
      <c r="IP11" s="210"/>
      <c r="IQ11" s="210"/>
      <c r="IR11" s="210"/>
      <c r="IS11" s="210"/>
      <c r="IT11" s="210"/>
      <c r="IU11" s="210"/>
      <c r="IV11" s="210"/>
      <c r="IW11" s="210"/>
      <c r="IX11" s="210"/>
      <c r="IY11" s="210"/>
      <c r="IZ11" s="210"/>
      <c r="JA11" s="210"/>
      <c r="JB11" s="210"/>
      <c r="JC11" s="210"/>
      <c r="JD11" s="210"/>
      <c r="JE11" s="210"/>
      <c r="JF11" s="210"/>
      <c r="JG11" s="210"/>
      <c r="JH11" s="209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2"/>
      <c r="JW11" s="82"/>
      <c r="JX11" s="82"/>
      <c r="JY11" s="82"/>
      <c r="JZ11" s="82"/>
      <c r="KA11" s="209"/>
      <c r="KB11" s="210"/>
      <c r="KC11" s="210"/>
      <c r="KD11" s="210"/>
      <c r="KE11" s="210"/>
      <c r="KF11" s="210"/>
      <c r="KG11" s="210"/>
      <c r="KH11" s="210"/>
      <c r="KI11" s="210"/>
      <c r="KJ11" s="210"/>
      <c r="KK11" s="210"/>
      <c r="KL11" s="210"/>
      <c r="KM11" s="210"/>
      <c r="KN11" s="210"/>
      <c r="KO11" s="210"/>
      <c r="KP11" s="210"/>
      <c r="KQ11" s="210"/>
      <c r="KR11" s="210"/>
      <c r="KS11" s="210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2"/>
      <c r="LP11" s="82"/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>
        <f t="shared" si="0"/>
        <v>33681.43</v>
      </c>
    </row>
    <row r="12" spans="2:342" s="71" customFormat="1" ht="21" hidden="1">
      <c r="B12" s="1177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209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09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209"/>
      <c r="BH12" s="210"/>
      <c r="BI12" s="210"/>
      <c r="BJ12" s="210"/>
      <c r="BK12" s="210"/>
      <c r="BL12" s="210"/>
      <c r="BM12" s="210"/>
      <c r="BN12" s="210">
        <v>101.65</v>
      </c>
      <c r="BO12" s="210" t="s">
        <v>1222</v>
      </c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09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209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09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209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0"/>
      <c r="ES12" s="210"/>
      <c r="ET12" s="210"/>
      <c r="EU12" s="210"/>
      <c r="EV12" s="210"/>
      <c r="EW12" s="210"/>
      <c r="EX12" s="209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209"/>
      <c r="FR12" s="210"/>
      <c r="FS12" s="210"/>
      <c r="FT12" s="210"/>
      <c r="FU12" s="210"/>
      <c r="FV12" s="210"/>
      <c r="FW12" s="210"/>
      <c r="FX12" s="210"/>
      <c r="FY12" s="210"/>
      <c r="FZ12" s="210"/>
      <c r="GA12" s="210"/>
      <c r="GB12" s="210"/>
      <c r="GC12" s="210"/>
      <c r="GD12" s="210"/>
      <c r="GE12" s="210"/>
      <c r="GF12" s="210"/>
      <c r="GG12" s="210"/>
      <c r="GH12" s="210"/>
      <c r="GI12" s="210"/>
      <c r="GJ12" s="209"/>
      <c r="GK12" s="82"/>
      <c r="GL12" s="82"/>
      <c r="GM12" s="82"/>
      <c r="GN12" s="82"/>
      <c r="GO12" s="82"/>
      <c r="GP12" s="82"/>
      <c r="GQ12" s="82"/>
      <c r="GR12" s="256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209"/>
      <c r="HD12" s="210"/>
      <c r="HE12" s="210"/>
      <c r="HF12" s="210"/>
      <c r="HG12" s="210"/>
      <c r="HH12" s="210"/>
      <c r="HI12" s="210"/>
      <c r="HJ12" s="210"/>
      <c r="HK12" s="210"/>
      <c r="HL12" s="210"/>
      <c r="HM12" s="210"/>
      <c r="HN12" s="210"/>
      <c r="HO12" s="210"/>
      <c r="HP12" s="210"/>
      <c r="HQ12" s="210"/>
      <c r="HR12" s="210"/>
      <c r="HS12" s="210"/>
      <c r="HT12" s="210"/>
      <c r="HU12" s="210"/>
      <c r="HV12" s="209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209"/>
      <c r="IP12" s="210"/>
      <c r="IQ12" s="210"/>
      <c r="IR12" s="210"/>
      <c r="IS12" s="210"/>
      <c r="IT12" s="210"/>
      <c r="IU12" s="210"/>
      <c r="IV12" s="210"/>
      <c r="IW12" s="210"/>
      <c r="IX12" s="210"/>
      <c r="IY12" s="210"/>
      <c r="IZ12" s="210"/>
      <c r="JA12" s="210"/>
      <c r="JB12" s="210"/>
      <c r="JC12" s="210"/>
      <c r="JD12" s="210"/>
      <c r="JE12" s="210"/>
      <c r="JF12" s="210"/>
      <c r="JG12" s="210"/>
      <c r="JH12" s="209"/>
      <c r="JI12" s="82"/>
      <c r="JJ12" s="82"/>
      <c r="JK12" s="82"/>
      <c r="JL12" s="82"/>
      <c r="JM12" s="82"/>
      <c r="JN12" s="82"/>
      <c r="JO12" s="82"/>
      <c r="JP12" s="82"/>
      <c r="JQ12" s="82"/>
      <c r="JR12" s="82"/>
      <c r="JS12" s="82"/>
      <c r="JT12" s="82"/>
      <c r="JU12" s="82"/>
      <c r="JV12" s="82"/>
      <c r="JW12" s="82"/>
      <c r="JX12" s="82"/>
      <c r="JY12" s="82"/>
      <c r="JZ12" s="82"/>
      <c r="KA12" s="209"/>
      <c r="KB12" s="210"/>
      <c r="KC12" s="210"/>
      <c r="KD12" s="210"/>
      <c r="KE12" s="210"/>
      <c r="KF12" s="210"/>
      <c r="KG12" s="210"/>
      <c r="KH12" s="210"/>
      <c r="KI12" s="210"/>
      <c r="KJ12" s="210"/>
      <c r="KK12" s="210"/>
      <c r="KL12" s="210"/>
      <c r="KM12" s="210"/>
      <c r="KN12" s="210"/>
      <c r="KO12" s="210"/>
      <c r="KP12" s="210"/>
      <c r="KQ12" s="210"/>
      <c r="KR12" s="210"/>
      <c r="KS12" s="210"/>
      <c r="KT12" s="82"/>
      <c r="KU12" s="82"/>
      <c r="KV12" s="82"/>
      <c r="KW12" s="82"/>
      <c r="KX12" s="82"/>
      <c r="KY12" s="82"/>
      <c r="KZ12" s="82"/>
      <c r="LA12" s="82"/>
      <c r="LB12" s="82"/>
      <c r="LC12" s="82"/>
      <c r="LD12" s="82"/>
      <c r="LE12" s="82"/>
      <c r="LF12" s="82"/>
      <c r="LG12" s="82"/>
      <c r="LH12" s="82"/>
      <c r="LI12" s="82"/>
      <c r="LJ12" s="82"/>
      <c r="LK12" s="82"/>
      <c r="LL12" s="82"/>
      <c r="LM12" s="82"/>
      <c r="LN12" s="82"/>
      <c r="LO12" s="82"/>
      <c r="LP12" s="82"/>
      <c r="LQ12" s="82"/>
      <c r="LR12" s="82"/>
      <c r="LS12" s="82"/>
      <c r="LT12" s="82"/>
      <c r="LU12" s="82"/>
      <c r="LV12" s="82"/>
      <c r="LW12" s="82"/>
      <c r="LX12" s="82"/>
      <c r="LY12" s="82"/>
      <c r="LZ12" s="82"/>
      <c r="MA12" s="82"/>
      <c r="MB12" s="82"/>
      <c r="MC12" s="82"/>
      <c r="MD12" s="82">
        <f t="shared" si="0"/>
        <v>101.65</v>
      </c>
    </row>
    <row r="13" spans="2:342" s="71" customFormat="1" ht="21" hidden="1">
      <c r="B13" s="1176">
        <v>242920</v>
      </c>
      <c r="C13" s="82"/>
      <c r="D13" s="82"/>
      <c r="E13" s="82"/>
      <c r="F13" s="82"/>
      <c r="G13" s="82"/>
      <c r="H13" s="82"/>
      <c r="I13" s="82">
        <v>2084.36</v>
      </c>
      <c r="J13" s="82" t="s">
        <v>1214</v>
      </c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209"/>
      <c r="V13" s="210">
        <v>434.42</v>
      </c>
      <c r="W13" s="210" t="s">
        <v>1225</v>
      </c>
      <c r="X13" s="210">
        <v>2739.11</v>
      </c>
      <c r="Y13" s="210" t="s">
        <v>1241</v>
      </c>
      <c r="Z13" s="210"/>
      <c r="AA13" s="210"/>
      <c r="AB13" s="210">
        <v>101.65</v>
      </c>
      <c r="AC13" s="210" t="s">
        <v>1243</v>
      </c>
      <c r="AD13" s="210">
        <v>732.95</v>
      </c>
      <c r="AE13" s="210" t="s">
        <v>1216</v>
      </c>
      <c r="AF13" s="210"/>
      <c r="AG13" s="210"/>
      <c r="AH13" s="210"/>
      <c r="AI13" s="210"/>
      <c r="AJ13" s="210"/>
      <c r="AK13" s="210"/>
      <c r="AL13" s="210"/>
      <c r="AM13" s="210"/>
      <c r="AN13" s="209"/>
      <c r="AO13" s="82">
        <v>144</v>
      </c>
      <c r="AP13" s="82" t="s">
        <v>1224</v>
      </c>
      <c r="AQ13" s="82">
        <v>1898.6</v>
      </c>
      <c r="AR13" s="82" t="s">
        <v>1213</v>
      </c>
      <c r="AS13" s="82"/>
      <c r="AT13" s="82"/>
      <c r="AU13" s="82">
        <v>113.85</v>
      </c>
      <c r="AV13" s="82" t="s">
        <v>1230</v>
      </c>
      <c r="AW13" s="82">
        <v>640.92999999999995</v>
      </c>
      <c r="AX13" s="82" t="s">
        <v>1229</v>
      </c>
      <c r="AY13" s="82"/>
      <c r="AZ13" s="82"/>
      <c r="BA13" s="82">
        <v>3000</v>
      </c>
      <c r="BB13" s="82" t="s">
        <v>1217</v>
      </c>
      <c r="BC13" s="82">
        <v>7040</v>
      </c>
      <c r="BD13" s="82" t="s">
        <v>1216</v>
      </c>
      <c r="BE13" s="82"/>
      <c r="BF13" s="82"/>
      <c r="BG13" s="209"/>
      <c r="BH13" s="210">
        <v>306.02</v>
      </c>
      <c r="BI13" s="210" t="s">
        <v>1244</v>
      </c>
      <c r="BJ13" s="210">
        <v>2318.5</v>
      </c>
      <c r="BK13" s="210" t="s">
        <v>1242</v>
      </c>
      <c r="BL13" s="210"/>
      <c r="BM13" s="210"/>
      <c r="BN13" s="210">
        <v>101.65</v>
      </c>
      <c r="BO13" s="210" t="s">
        <v>1245</v>
      </c>
      <c r="BP13" s="210"/>
      <c r="BQ13" s="210"/>
      <c r="BR13" s="210">
        <v>9900</v>
      </c>
      <c r="BS13" s="210" t="s">
        <v>1247</v>
      </c>
      <c r="BT13" s="210"/>
      <c r="BU13" s="210"/>
      <c r="BV13" s="210"/>
      <c r="BW13" s="210"/>
      <c r="BX13" s="210"/>
      <c r="BY13" s="210"/>
      <c r="BZ13" s="209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209"/>
      <c r="CT13" s="210"/>
      <c r="CU13" s="210"/>
      <c r="CV13" s="210">
        <v>1330.5</v>
      </c>
      <c r="CW13" s="210" t="s">
        <v>1016</v>
      </c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09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>
        <v>7532.8</v>
      </c>
      <c r="DZ13" s="82"/>
      <c r="EA13" s="82"/>
      <c r="EB13" s="82"/>
      <c r="EC13" s="82"/>
      <c r="ED13" s="82"/>
      <c r="EE13" s="209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  <c r="EV13" s="210"/>
      <c r="EW13" s="210"/>
      <c r="EX13" s="209"/>
      <c r="EY13" s="82"/>
      <c r="EZ13" s="82"/>
      <c r="FA13" s="82">
        <v>3547.57</v>
      </c>
      <c r="FB13" s="82" t="s">
        <v>1215</v>
      </c>
      <c r="FC13" s="82"/>
      <c r="FD13" s="82"/>
      <c r="FE13" s="82">
        <v>107.75</v>
      </c>
      <c r="FF13" s="82" t="s">
        <v>1002</v>
      </c>
      <c r="FG13" s="82"/>
      <c r="FH13" s="82"/>
      <c r="FI13" s="82">
        <v>4900</v>
      </c>
      <c r="FJ13" s="82" t="s">
        <v>1225</v>
      </c>
      <c r="FK13" s="82">
        <v>3000</v>
      </c>
      <c r="FL13" s="82" t="s">
        <v>1226</v>
      </c>
      <c r="FM13" s="82"/>
      <c r="FN13" s="82"/>
      <c r="FO13" s="82"/>
      <c r="FP13" s="82"/>
      <c r="FQ13" s="209"/>
      <c r="FR13" s="210"/>
      <c r="FS13" s="210"/>
      <c r="FT13" s="210">
        <v>1775.11</v>
      </c>
      <c r="FU13" s="210" t="s">
        <v>1243</v>
      </c>
      <c r="FV13" s="210"/>
      <c r="FW13" s="210"/>
      <c r="FX13" s="210">
        <v>5000</v>
      </c>
      <c r="FY13" s="210" t="s">
        <v>1246</v>
      </c>
      <c r="FZ13" s="210">
        <v>12000</v>
      </c>
      <c r="GA13" s="210" t="s">
        <v>1249</v>
      </c>
      <c r="GB13" s="210"/>
      <c r="GC13" s="210"/>
      <c r="GD13" s="210">
        <v>3000</v>
      </c>
      <c r="GE13" s="210" t="s">
        <v>1216</v>
      </c>
      <c r="GF13" s="210"/>
      <c r="GG13" s="210"/>
      <c r="GH13" s="210"/>
      <c r="GI13" s="210"/>
      <c r="GJ13" s="209"/>
      <c r="GK13" s="82"/>
      <c r="GL13" s="82"/>
      <c r="GM13" s="82">
        <v>2202.84</v>
      </c>
      <c r="GN13" s="82" t="s">
        <v>1227</v>
      </c>
      <c r="GO13" s="82"/>
      <c r="GP13" s="82"/>
      <c r="GQ13" s="82">
        <v>1443.43</v>
      </c>
      <c r="GR13" s="256" t="s">
        <v>1243</v>
      </c>
      <c r="GS13" s="82">
        <v>1605</v>
      </c>
      <c r="GT13" s="82" t="s">
        <v>1241</v>
      </c>
      <c r="GU13" s="82"/>
      <c r="GV13" s="82"/>
      <c r="GW13" s="82"/>
      <c r="GX13" s="82"/>
      <c r="GY13" s="82"/>
      <c r="GZ13" s="82"/>
      <c r="HA13" s="82"/>
      <c r="HB13" s="82"/>
      <c r="HC13" s="209"/>
      <c r="HD13" s="210">
        <v>1215</v>
      </c>
      <c r="HE13" s="210" t="s">
        <v>1215</v>
      </c>
      <c r="HF13" s="210">
        <v>9325.8799999999992</v>
      </c>
      <c r="HG13" s="210" t="s">
        <v>1016</v>
      </c>
      <c r="HH13" s="210"/>
      <c r="HI13" s="210"/>
      <c r="HJ13" s="210">
        <v>321</v>
      </c>
      <c r="HK13" s="210" t="s">
        <v>1002</v>
      </c>
      <c r="HL13" s="210"/>
      <c r="HM13" s="210"/>
      <c r="HN13" s="210"/>
      <c r="HO13" s="210"/>
      <c r="HP13" s="210">
        <v>4500</v>
      </c>
      <c r="HQ13" s="210" t="s">
        <v>1251</v>
      </c>
      <c r="HR13" s="210"/>
      <c r="HS13" s="210"/>
      <c r="HT13" s="210"/>
      <c r="HU13" s="210"/>
      <c r="HV13" s="209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209"/>
      <c r="IP13" s="210"/>
      <c r="IQ13" s="210"/>
      <c r="IR13" s="210">
        <v>3499.39</v>
      </c>
      <c r="IS13" s="210" t="s">
        <v>1223</v>
      </c>
      <c r="IT13" s="210"/>
      <c r="IU13" s="210"/>
      <c r="IV13" s="210">
        <v>203.3</v>
      </c>
      <c r="IW13" s="210" t="s">
        <v>1225</v>
      </c>
      <c r="IX13" s="210">
        <v>2782</v>
      </c>
      <c r="IY13" s="210" t="s">
        <v>1226</v>
      </c>
      <c r="IZ13" s="210"/>
      <c r="JA13" s="210"/>
      <c r="JB13" s="210"/>
      <c r="JC13" s="210"/>
      <c r="JD13" s="210">
        <v>8000</v>
      </c>
      <c r="JE13" s="210" t="s">
        <v>1002</v>
      </c>
      <c r="JF13" s="210"/>
      <c r="JG13" s="210"/>
      <c r="JH13" s="209"/>
      <c r="JI13" s="82"/>
      <c r="JJ13" s="82"/>
      <c r="JK13" s="82">
        <v>1052.6400000000001</v>
      </c>
      <c r="JL13" s="82" t="s">
        <v>1228</v>
      </c>
      <c r="JM13" s="82"/>
      <c r="JN13" s="82"/>
      <c r="JO13" s="82"/>
      <c r="JP13" s="82"/>
      <c r="JQ13" s="82"/>
      <c r="JR13" s="82"/>
      <c r="JS13" s="82">
        <v>7500</v>
      </c>
      <c r="JT13" s="82" t="s">
        <v>1250</v>
      </c>
      <c r="JU13" s="82">
        <v>2500</v>
      </c>
      <c r="JV13" s="82" t="s">
        <v>1214</v>
      </c>
      <c r="JW13" s="82"/>
      <c r="JX13" s="82"/>
      <c r="JY13" s="82"/>
      <c r="JZ13" s="82"/>
      <c r="KA13" s="209"/>
      <c r="KB13" s="210"/>
      <c r="KC13" s="210"/>
      <c r="KD13" s="210"/>
      <c r="KE13" s="210"/>
      <c r="KF13" s="210"/>
      <c r="KG13" s="210"/>
      <c r="KH13" s="210"/>
      <c r="KI13" s="210"/>
      <c r="KJ13" s="210"/>
      <c r="KK13" s="210"/>
      <c r="KL13" s="210"/>
      <c r="KM13" s="210"/>
      <c r="KN13" s="210">
        <v>3000</v>
      </c>
      <c r="KO13" s="210" t="s">
        <v>1005</v>
      </c>
      <c r="KP13" s="210"/>
      <c r="KQ13" s="210"/>
      <c r="KR13" s="210"/>
      <c r="KS13" s="210"/>
      <c r="KT13" s="82"/>
      <c r="KU13" s="82"/>
      <c r="KV13" s="82"/>
      <c r="KW13" s="82"/>
      <c r="KX13" s="82"/>
      <c r="KY13" s="82"/>
      <c r="KZ13" s="82"/>
      <c r="LA13" s="82"/>
      <c r="LB13" s="82"/>
      <c r="LC13" s="82"/>
      <c r="LD13" s="82"/>
      <c r="LE13" s="82"/>
      <c r="LF13" s="82"/>
      <c r="LG13" s="82"/>
      <c r="LH13" s="82"/>
      <c r="LI13" s="82"/>
      <c r="LJ13" s="82"/>
      <c r="LK13" s="82"/>
      <c r="LL13" s="82"/>
      <c r="LM13" s="82"/>
      <c r="LN13" s="82"/>
      <c r="LO13" s="82"/>
      <c r="LP13" s="82"/>
      <c r="LQ13" s="82"/>
      <c r="LR13" s="82"/>
      <c r="LS13" s="82"/>
      <c r="LT13" s="82"/>
      <c r="LU13" s="82"/>
      <c r="LV13" s="82"/>
      <c r="LW13" s="82"/>
      <c r="LX13" s="82"/>
      <c r="LY13" s="82"/>
      <c r="LZ13" s="82"/>
      <c r="MA13" s="82"/>
      <c r="MB13" s="82"/>
      <c r="MC13" s="82"/>
      <c r="MD13" s="82">
        <f t="shared" si="0"/>
        <v>122900.25000000001</v>
      </c>
    </row>
    <row r="14" spans="2:342" s="71" customFormat="1" ht="21" hidden="1">
      <c r="B14" s="1180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209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09"/>
      <c r="AO14" s="82"/>
      <c r="AP14" s="82"/>
      <c r="AQ14" s="82"/>
      <c r="AR14" s="82"/>
      <c r="AS14" s="82"/>
      <c r="AT14" s="82"/>
      <c r="AU14" s="82"/>
      <c r="AV14" s="82"/>
      <c r="AW14" s="82">
        <v>738.3</v>
      </c>
      <c r="AX14" s="82" t="s">
        <v>1219</v>
      </c>
      <c r="AY14" s="82"/>
      <c r="AZ14" s="82"/>
      <c r="BA14" s="82"/>
      <c r="BB14" s="82"/>
      <c r="BC14" s="82"/>
      <c r="BD14" s="82"/>
      <c r="BE14" s="82"/>
      <c r="BF14" s="82"/>
      <c r="BG14" s="209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>
        <v>9500</v>
      </c>
      <c r="BS14" s="210" t="s">
        <v>1248</v>
      </c>
      <c r="BT14" s="210"/>
      <c r="BU14" s="210"/>
      <c r="BV14" s="210"/>
      <c r="BW14" s="210"/>
      <c r="BX14" s="210"/>
      <c r="BY14" s="210"/>
      <c r="BZ14" s="209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209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09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209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09"/>
      <c r="EY14" s="82"/>
      <c r="EZ14" s="82"/>
      <c r="FA14" s="82"/>
      <c r="FB14" s="82"/>
      <c r="FC14" s="82"/>
      <c r="FD14" s="82"/>
      <c r="FE14" s="82">
        <v>2407.5</v>
      </c>
      <c r="FF14" s="82" t="s">
        <v>1223</v>
      </c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209"/>
      <c r="FR14" s="210"/>
      <c r="FS14" s="210"/>
      <c r="FT14" s="210"/>
      <c r="FU14" s="210"/>
      <c r="FV14" s="210"/>
      <c r="FW14" s="210"/>
      <c r="FX14" s="210">
        <v>407</v>
      </c>
      <c r="FY14" s="210" t="s">
        <v>1241</v>
      </c>
      <c r="FZ14" s="210"/>
      <c r="GA14" s="210"/>
      <c r="GB14" s="210"/>
      <c r="GC14" s="210"/>
      <c r="GD14" s="210"/>
      <c r="GE14" s="210"/>
      <c r="GF14" s="210"/>
      <c r="GG14" s="210"/>
      <c r="GH14" s="210"/>
      <c r="GI14" s="210"/>
      <c r="GJ14" s="209"/>
      <c r="GK14" s="82"/>
      <c r="GL14" s="82"/>
      <c r="GM14" s="82"/>
      <c r="GN14" s="82"/>
      <c r="GO14" s="82"/>
      <c r="GP14" s="82"/>
      <c r="GQ14" s="82">
        <v>107</v>
      </c>
      <c r="GR14" s="256" t="s">
        <v>1246</v>
      </c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209"/>
      <c r="HD14" s="210"/>
      <c r="HE14" s="210"/>
      <c r="HF14" s="210">
        <v>2022.1</v>
      </c>
      <c r="HG14" s="210" t="s">
        <v>1226</v>
      </c>
      <c r="HH14" s="210"/>
      <c r="HI14" s="210"/>
      <c r="HJ14" s="210">
        <v>2568</v>
      </c>
      <c r="HK14" s="210" t="s">
        <v>1223</v>
      </c>
      <c r="HL14" s="210"/>
      <c r="HM14" s="210"/>
      <c r="HN14" s="210"/>
      <c r="HO14" s="210"/>
      <c r="HP14" s="210">
        <v>6000</v>
      </c>
      <c r="HQ14" s="210" t="s">
        <v>1017</v>
      </c>
      <c r="HR14" s="210"/>
      <c r="HS14" s="210"/>
      <c r="HT14" s="210"/>
      <c r="HU14" s="210"/>
      <c r="HV14" s="209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209"/>
      <c r="IP14" s="210"/>
      <c r="IQ14" s="210"/>
      <c r="IR14" s="210"/>
      <c r="IS14" s="210"/>
      <c r="IT14" s="210"/>
      <c r="IU14" s="210"/>
      <c r="IV14" s="210"/>
      <c r="IW14" s="210"/>
      <c r="IX14" s="210"/>
      <c r="IY14" s="210"/>
      <c r="IZ14" s="210"/>
      <c r="JA14" s="210"/>
      <c r="JB14" s="210"/>
      <c r="JC14" s="210"/>
      <c r="JD14" s="210"/>
      <c r="JE14" s="210"/>
      <c r="JF14" s="210"/>
      <c r="JG14" s="210"/>
      <c r="JH14" s="209"/>
      <c r="JI14" s="82"/>
      <c r="JJ14" s="82"/>
      <c r="JK14" s="82"/>
      <c r="JL14" s="82"/>
      <c r="JM14" s="82"/>
      <c r="JN14" s="82"/>
      <c r="JO14" s="82"/>
      <c r="JP14" s="82"/>
      <c r="JQ14" s="82"/>
      <c r="JR14" s="82"/>
      <c r="JS14" s="82"/>
      <c r="JT14" s="82"/>
      <c r="JU14" s="82"/>
      <c r="JV14" s="82"/>
      <c r="JW14" s="82"/>
      <c r="JX14" s="82"/>
      <c r="JY14" s="82"/>
      <c r="JZ14" s="82"/>
      <c r="KA14" s="209"/>
      <c r="KB14" s="210"/>
      <c r="KC14" s="210"/>
      <c r="KD14" s="210"/>
      <c r="KE14" s="210"/>
      <c r="KF14" s="210"/>
      <c r="KG14" s="210"/>
      <c r="KH14" s="210"/>
      <c r="KI14" s="210"/>
      <c r="KJ14" s="210"/>
      <c r="KK14" s="210"/>
      <c r="KL14" s="210"/>
      <c r="KM14" s="210"/>
      <c r="KN14" s="210"/>
      <c r="KO14" s="210"/>
      <c r="KP14" s="210"/>
      <c r="KQ14" s="210"/>
      <c r="KR14" s="210"/>
      <c r="KS14" s="210"/>
      <c r="KT14" s="82"/>
      <c r="KU14" s="82"/>
      <c r="KV14" s="82"/>
      <c r="KW14" s="82"/>
      <c r="KX14" s="82"/>
      <c r="KY14" s="82"/>
      <c r="KZ14" s="82"/>
      <c r="LA14" s="82"/>
      <c r="LB14" s="82"/>
      <c r="LC14" s="82"/>
      <c r="LD14" s="82"/>
      <c r="LE14" s="82"/>
      <c r="LF14" s="82"/>
      <c r="LG14" s="82"/>
      <c r="LH14" s="82"/>
      <c r="LI14" s="82"/>
      <c r="LJ14" s="82"/>
      <c r="LK14" s="82"/>
      <c r="LL14" s="82"/>
      <c r="LM14" s="82"/>
      <c r="LN14" s="82"/>
      <c r="LO14" s="82"/>
      <c r="LP14" s="82"/>
      <c r="LQ14" s="82"/>
      <c r="LR14" s="82"/>
      <c r="LS14" s="82"/>
      <c r="LT14" s="82"/>
      <c r="LU14" s="82"/>
      <c r="LV14" s="82"/>
      <c r="LW14" s="82"/>
      <c r="LX14" s="82"/>
      <c r="LY14" s="82"/>
      <c r="LZ14" s="82"/>
      <c r="MA14" s="82"/>
      <c r="MB14" s="82"/>
      <c r="MC14" s="82"/>
      <c r="MD14" s="82">
        <f t="shared" si="0"/>
        <v>23749.9</v>
      </c>
    </row>
    <row r="15" spans="2:342" s="71" customFormat="1" ht="21" hidden="1">
      <c r="B15" s="11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209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09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209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09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209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09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209"/>
      <c r="EF15" s="210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R15" s="210"/>
      <c r="ES15" s="210"/>
      <c r="ET15" s="210"/>
      <c r="EU15" s="210"/>
      <c r="EV15" s="210"/>
      <c r="EW15" s="210"/>
      <c r="EX15" s="209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209"/>
      <c r="FR15" s="210"/>
      <c r="FS15" s="210"/>
      <c r="FT15" s="210"/>
      <c r="FU15" s="210"/>
      <c r="FV15" s="210"/>
      <c r="FW15" s="210"/>
      <c r="FX15" s="210"/>
      <c r="FY15" s="210"/>
      <c r="FZ15" s="210"/>
      <c r="GA15" s="210"/>
      <c r="GB15" s="210"/>
      <c r="GC15" s="210"/>
      <c r="GD15" s="210"/>
      <c r="GE15" s="210"/>
      <c r="GF15" s="210"/>
      <c r="GG15" s="210"/>
      <c r="GH15" s="210"/>
      <c r="GI15" s="210"/>
      <c r="GJ15" s="209"/>
      <c r="GK15" s="82"/>
      <c r="GL15" s="82"/>
      <c r="GM15" s="82"/>
      <c r="GN15" s="82"/>
      <c r="GO15" s="82"/>
      <c r="GP15" s="82"/>
      <c r="GQ15" s="82">
        <v>3206.79</v>
      </c>
      <c r="GR15" s="256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209"/>
      <c r="HD15" s="210"/>
      <c r="HE15" s="210"/>
      <c r="HF15" s="210"/>
      <c r="HG15" s="210"/>
      <c r="HH15" s="210"/>
      <c r="HI15" s="210"/>
      <c r="HJ15" s="210"/>
      <c r="HK15" s="210"/>
      <c r="HL15" s="210"/>
      <c r="HM15" s="210"/>
      <c r="HN15" s="210"/>
      <c r="HO15" s="210"/>
      <c r="HP15" s="210"/>
      <c r="HQ15" s="210"/>
      <c r="HR15" s="210"/>
      <c r="HS15" s="210"/>
      <c r="HT15" s="210"/>
      <c r="HU15" s="210"/>
      <c r="HV15" s="209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209"/>
      <c r="IP15" s="210"/>
      <c r="IQ15" s="210"/>
      <c r="IR15" s="210"/>
      <c r="IS15" s="210"/>
      <c r="IT15" s="210"/>
      <c r="IU15" s="210"/>
      <c r="IV15" s="210"/>
      <c r="IW15" s="210"/>
      <c r="IX15" s="210"/>
      <c r="IY15" s="210"/>
      <c r="IZ15" s="210"/>
      <c r="JA15" s="210"/>
      <c r="JB15" s="210"/>
      <c r="JC15" s="210"/>
      <c r="JD15" s="210"/>
      <c r="JE15" s="210"/>
      <c r="JF15" s="210"/>
      <c r="JG15" s="210"/>
      <c r="JH15" s="209"/>
      <c r="JI15" s="82"/>
      <c r="JJ15" s="82"/>
      <c r="JK15" s="82"/>
      <c r="JL15" s="82"/>
      <c r="JM15" s="82"/>
      <c r="JN15" s="82"/>
      <c r="JO15" s="82"/>
      <c r="JP15" s="82"/>
      <c r="JQ15" s="82"/>
      <c r="JR15" s="82"/>
      <c r="JS15" s="82"/>
      <c r="JT15" s="82"/>
      <c r="JU15" s="82"/>
      <c r="JV15" s="82"/>
      <c r="JW15" s="82"/>
      <c r="JX15" s="82"/>
      <c r="JY15" s="82"/>
      <c r="JZ15" s="82"/>
      <c r="KA15" s="209"/>
      <c r="KB15" s="210"/>
      <c r="KC15" s="210"/>
      <c r="KD15" s="210"/>
      <c r="KE15" s="210"/>
      <c r="KF15" s="210"/>
      <c r="KG15" s="210"/>
      <c r="KH15" s="210"/>
      <c r="KI15" s="210"/>
      <c r="KJ15" s="210"/>
      <c r="KK15" s="210"/>
      <c r="KL15" s="210"/>
      <c r="KM15" s="210"/>
      <c r="KN15" s="210"/>
      <c r="KO15" s="210"/>
      <c r="KP15" s="210"/>
      <c r="KQ15" s="210"/>
      <c r="KR15" s="210"/>
      <c r="KS15" s="210"/>
      <c r="KT15" s="82"/>
      <c r="KU15" s="82"/>
      <c r="KV15" s="82"/>
      <c r="KW15" s="82"/>
      <c r="KX15" s="82"/>
      <c r="KY15" s="82"/>
      <c r="KZ15" s="82"/>
      <c r="LA15" s="82"/>
      <c r="LB15" s="82"/>
      <c r="LC15" s="82"/>
      <c r="LD15" s="82"/>
      <c r="LE15" s="82"/>
      <c r="LF15" s="82"/>
      <c r="LG15" s="82"/>
      <c r="LH15" s="82"/>
      <c r="LI15" s="82"/>
      <c r="LJ15" s="82"/>
      <c r="LK15" s="82"/>
      <c r="LL15" s="82"/>
      <c r="LM15" s="82"/>
      <c r="LN15" s="82"/>
      <c r="LO15" s="82"/>
      <c r="LP15" s="82"/>
      <c r="LQ15" s="82"/>
      <c r="LR15" s="82"/>
      <c r="LS15" s="82"/>
      <c r="LT15" s="82"/>
      <c r="LU15" s="82"/>
      <c r="LV15" s="82"/>
      <c r="LW15" s="82"/>
      <c r="LX15" s="82"/>
      <c r="LY15" s="82"/>
      <c r="LZ15" s="82"/>
      <c r="MA15" s="82"/>
      <c r="MB15" s="82"/>
      <c r="MC15" s="82"/>
      <c r="MD15" s="82">
        <f t="shared" si="0"/>
        <v>3206.79</v>
      </c>
    </row>
    <row r="16" spans="2:342" s="71" customFormat="1" ht="24.75" hidden="1" customHeight="1">
      <c r="B16" s="1176">
        <v>23802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209"/>
      <c r="V16" s="210">
        <v>272.85000000000002</v>
      </c>
      <c r="W16" s="210">
        <v>0.56060606060606055</v>
      </c>
      <c r="X16" s="210"/>
      <c r="Y16" s="210"/>
      <c r="Z16" s="210"/>
      <c r="AA16" s="210"/>
      <c r="AB16" s="210">
        <v>642</v>
      </c>
      <c r="AC16" s="210" t="s">
        <v>1246</v>
      </c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09"/>
      <c r="AO16" s="82"/>
      <c r="AP16" s="82"/>
      <c r="AQ16" s="82">
        <v>2225.88</v>
      </c>
      <c r="AR16" s="82">
        <v>49.66</v>
      </c>
      <c r="AS16" s="82"/>
      <c r="AT16" s="82"/>
      <c r="AU16" s="82">
        <v>135.19</v>
      </c>
      <c r="AV16" s="82" t="s">
        <v>1248</v>
      </c>
      <c r="AW16" s="82">
        <v>738.3</v>
      </c>
      <c r="AX16" s="82" t="s">
        <v>1247</v>
      </c>
      <c r="AY16" s="82"/>
      <c r="AZ16" s="82"/>
      <c r="BA16" s="82">
        <v>3000</v>
      </c>
      <c r="BB16" s="82" t="s">
        <v>1277</v>
      </c>
      <c r="BC16" s="82">
        <v>7360</v>
      </c>
      <c r="BD16" s="82" t="s">
        <v>1228</v>
      </c>
      <c r="BE16" s="82"/>
      <c r="BF16" s="82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09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209"/>
      <c r="CT16" s="210">
        <v>385.2</v>
      </c>
      <c r="CU16" s="210" t="s">
        <v>1223</v>
      </c>
      <c r="CV16" s="210">
        <v>2419.6799999999998</v>
      </c>
      <c r="CW16" s="210" t="s">
        <v>1226</v>
      </c>
      <c r="CX16" s="210"/>
      <c r="CY16" s="210"/>
      <c r="CZ16" s="210">
        <v>1067.75</v>
      </c>
      <c r="DA16" s="210" t="s">
        <v>1225</v>
      </c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09"/>
      <c r="DM16" s="82"/>
      <c r="DN16" s="82"/>
      <c r="DO16" s="82"/>
      <c r="DP16" s="82"/>
      <c r="DQ16" s="82"/>
      <c r="DR16" s="82"/>
      <c r="DS16" s="82"/>
      <c r="DT16" s="82"/>
      <c r="DU16" s="82">
        <v>3446.47</v>
      </c>
      <c r="DV16" s="82" t="s">
        <v>1226</v>
      </c>
      <c r="DW16" s="82"/>
      <c r="DX16" s="82"/>
      <c r="DY16" s="82"/>
      <c r="DZ16" s="82"/>
      <c r="EA16" s="82"/>
      <c r="EB16" s="82"/>
      <c r="EC16" s="82"/>
      <c r="ED16" s="82"/>
      <c r="EE16" s="209"/>
      <c r="EF16" s="210">
        <v>1974.16</v>
      </c>
      <c r="EG16" s="210" t="s">
        <v>1222</v>
      </c>
      <c r="EH16" s="210"/>
      <c r="EI16" s="210"/>
      <c r="EJ16" s="210"/>
      <c r="EK16" s="210"/>
      <c r="EL16" s="210"/>
      <c r="EM16" s="210"/>
      <c r="EN16" s="210">
        <v>2247</v>
      </c>
      <c r="EO16" s="210" t="s">
        <v>1221</v>
      </c>
      <c r="EP16" s="210"/>
      <c r="EQ16" s="210"/>
      <c r="ER16" s="210"/>
      <c r="ES16" s="210"/>
      <c r="ET16" s="210"/>
      <c r="EU16" s="210"/>
      <c r="EV16" s="210"/>
      <c r="EW16" s="210"/>
      <c r="EX16" s="209"/>
      <c r="EY16" s="82"/>
      <c r="EZ16" s="82"/>
      <c r="FA16" s="82">
        <v>1571.34</v>
      </c>
      <c r="FB16" s="82" t="s">
        <v>1249</v>
      </c>
      <c r="FC16" s="82"/>
      <c r="FD16" s="82"/>
      <c r="FE16" s="82">
        <v>101.65</v>
      </c>
      <c r="FF16" s="82"/>
      <c r="FG16" s="82"/>
      <c r="FH16" s="82"/>
      <c r="FI16" s="82"/>
      <c r="FJ16" s="82"/>
      <c r="FK16" s="82">
        <v>3000</v>
      </c>
      <c r="FL16" s="82" t="s">
        <v>1218</v>
      </c>
      <c r="FM16" s="82"/>
      <c r="FN16" s="82"/>
      <c r="FO16" s="82"/>
      <c r="FP16" s="82"/>
      <c r="FQ16" s="209"/>
      <c r="FR16" s="210"/>
      <c r="FS16" s="210"/>
      <c r="FT16" s="210"/>
      <c r="FU16" s="210"/>
      <c r="FV16" s="210"/>
      <c r="FW16" s="210"/>
      <c r="FX16" s="210">
        <v>7000</v>
      </c>
      <c r="FY16" s="210">
        <v>0.56060606060606055</v>
      </c>
      <c r="FZ16" s="210"/>
      <c r="GA16" s="210"/>
      <c r="GB16" s="210">
        <v>10000</v>
      </c>
      <c r="GC16" s="210" t="s">
        <v>1219</v>
      </c>
      <c r="GD16" s="210">
        <v>3000</v>
      </c>
      <c r="GE16" s="210" t="s">
        <v>1230</v>
      </c>
      <c r="GF16" s="210"/>
      <c r="GG16" s="210"/>
      <c r="GH16" s="210"/>
      <c r="GI16" s="210"/>
      <c r="GJ16" s="209"/>
      <c r="GK16" s="82"/>
      <c r="GL16" s="82"/>
      <c r="GM16" s="82"/>
      <c r="GN16" s="82"/>
      <c r="GO16" s="82"/>
      <c r="GP16" s="82"/>
      <c r="GQ16" s="82"/>
      <c r="GR16" s="213"/>
      <c r="GS16" s="181"/>
      <c r="GT16" s="214"/>
      <c r="GU16" s="82"/>
      <c r="GV16" s="82"/>
      <c r="GW16" s="82">
        <v>3000</v>
      </c>
      <c r="GX16" s="82" t="s">
        <v>1229</v>
      </c>
      <c r="GY16" s="82"/>
      <c r="GZ16" s="82"/>
      <c r="HA16" s="82"/>
      <c r="HB16" s="82"/>
      <c r="HC16" s="209"/>
      <c r="HD16" s="210"/>
      <c r="HE16" s="210"/>
      <c r="HF16" s="210">
        <v>2541.06</v>
      </c>
      <c r="HG16" s="210">
        <v>0.53030303030303028</v>
      </c>
      <c r="HH16" s="210"/>
      <c r="HI16" s="210"/>
      <c r="HJ16" s="210">
        <v>107</v>
      </c>
      <c r="HK16" s="210" t="s">
        <v>1213</v>
      </c>
      <c r="HL16" s="210">
        <v>856</v>
      </c>
      <c r="HM16" s="210"/>
      <c r="HN16" s="210"/>
      <c r="HO16" s="210"/>
      <c r="HP16" s="210">
        <v>2000</v>
      </c>
      <c r="HQ16" s="210" t="s">
        <v>1249</v>
      </c>
      <c r="HR16" s="210"/>
      <c r="HS16" s="210"/>
      <c r="HT16" s="210"/>
      <c r="HU16" s="210"/>
      <c r="HV16" s="209"/>
      <c r="HW16" s="82"/>
      <c r="HX16" s="82"/>
      <c r="HY16" s="82">
        <v>9540.48</v>
      </c>
      <c r="HZ16" s="82" t="s">
        <v>1225</v>
      </c>
      <c r="IA16" s="82"/>
      <c r="IB16" s="82"/>
      <c r="IC16" s="82"/>
      <c r="ID16" s="82"/>
      <c r="IE16" s="82">
        <v>1478.1</v>
      </c>
      <c r="IF16" s="82" t="s">
        <v>1246</v>
      </c>
      <c r="IG16" s="82"/>
      <c r="IH16" s="82"/>
      <c r="II16" s="82"/>
      <c r="IJ16" s="82"/>
      <c r="IK16" s="82"/>
      <c r="IL16" s="82"/>
      <c r="IM16" s="82"/>
      <c r="IN16" s="82"/>
      <c r="IO16" s="209"/>
      <c r="IP16" s="210">
        <v>240</v>
      </c>
      <c r="IQ16" s="210" t="s">
        <v>1249</v>
      </c>
      <c r="IR16" s="210">
        <v>3556.87</v>
      </c>
      <c r="IS16" s="210" t="s">
        <v>1241</v>
      </c>
      <c r="IT16" s="210"/>
      <c r="IU16" s="210"/>
      <c r="IV16" s="210">
        <v>101.65</v>
      </c>
      <c r="IW16" s="210" t="s">
        <v>1216</v>
      </c>
      <c r="IX16" s="210"/>
      <c r="IY16" s="210"/>
      <c r="IZ16" s="210"/>
      <c r="JA16" s="210"/>
      <c r="JB16" s="210"/>
      <c r="JC16" s="210"/>
      <c r="JD16" s="210"/>
      <c r="JE16" s="210"/>
      <c r="JF16" s="210"/>
      <c r="JG16" s="210"/>
      <c r="JH16" s="209"/>
      <c r="JI16" s="82"/>
      <c r="JJ16" s="82"/>
      <c r="JK16" s="82">
        <v>1478.71</v>
      </c>
      <c r="JL16" s="82" t="s">
        <v>1276</v>
      </c>
      <c r="JM16" s="82"/>
      <c r="JN16" s="82"/>
      <c r="JO16" s="82"/>
      <c r="JP16" s="82"/>
      <c r="JQ16" s="82"/>
      <c r="JR16" s="82"/>
      <c r="JS16" s="82"/>
      <c r="JT16" s="82"/>
      <c r="JU16" s="82">
        <v>2500</v>
      </c>
      <c r="JV16" s="82" t="s">
        <v>1278</v>
      </c>
      <c r="JW16" s="82"/>
      <c r="JX16" s="82"/>
      <c r="JY16" s="82"/>
      <c r="JZ16" s="82"/>
      <c r="KA16" s="209"/>
      <c r="KB16" s="210"/>
      <c r="KC16" s="210"/>
      <c r="KD16" s="210"/>
      <c r="KE16" s="210"/>
      <c r="KF16" s="210"/>
      <c r="KG16" s="210"/>
      <c r="KH16" s="210"/>
      <c r="KI16" s="210"/>
      <c r="KJ16" s="210"/>
      <c r="KK16" s="210"/>
      <c r="KL16" s="210"/>
      <c r="KM16" s="210"/>
      <c r="KN16" s="210">
        <v>3000</v>
      </c>
      <c r="KO16" s="210" t="s">
        <v>1015</v>
      </c>
      <c r="KP16" s="210"/>
      <c r="KQ16" s="210"/>
      <c r="KR16" s="210"/>
      <c r="KS16" s="210"/>
      <c r="KT16" s="82"/>
      <c r="KU16" s="82"/>
      <c r="KV16" s="82"/>
      <c r="KW16" s="82"/>
      <c r="KX16" s="82"/>
      <c r="KY16" s="82"/>
      <c r="KZ16" s="82"/>
      <c r="LA16" s="82"/>
      <c r="LB16" s="82"/>
      <c r="LC16" s="82"/>
      <c r="LD16" s="82"/>
      <c r="LE16" s="82"/>
      <c r="LF16" s="82"/>
      <c r="LG16" s="82"/>
      <c r="LH16" s="82"/>
      <c r="LI16" s="82"/>
      <c r="LJ16" s="82"/>
      <c r="LK16" s="82"/>
      <c r="LL16" s="82"/>
      <c r="LM16" s="82"/>
      <c r="LN16" s="82"/>
      <c r="LO16" s="82"/>
      <c r="LP16" s="82"/>
      <c r="LQ16" s="82"/>
      <c r="LR16" s="82"/>
      <c r="LS16" s="82"/>
      <c r="LT16" s="82"/>
      <c r="LU16" s="82"/>
      <c r="LV16" s="82"/>
      <c r="LW16" s="82"/>
      <c r="LX16" s="82"/>
      <c r="LY16" s="82"/>
      <c r="LZ16" s="82"/>
      <c r="MA16" s="82"/>
      <c r="MB16" s="82"/>
      <c r="MC16" s="82"/>
      <c r="MD16" s="82">
        <f t="shared" si="0"/>
        <v>80987.34</v>
      </c>
    </row>
    <row r="17" spans="2:344" s="71" customFormat="1" ht="24.75" hidden="1" customHeight="1">
      <c r="B17" s="11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209"/>
      <c r="V17" s="210"/>
      <c r="W17" s="210"/>
      <c r="X17" s="210"/>
      <c r="Y17" s="210"/>
      <c r="Z17" s="210"/>
      <c r="AA17" s="210"/>
      <c r="AB17" s="210">
        <v>321</v>
      </c>
      <c r="AC17" s="210"/>
      <c r="AD17" s="210">
        <v>732.95</v>
      </c>
      <c r="AE17" s="210" t="s">
        <v>1219</v>
      </c>
      <c r="AF17" s="210"/>
      <c r="AG17" s="210"/>
      <c r="AH17" s="210"/>
      <c r="AI17" s="210"/>
      <c r="AJ17" s="210"/>
      <c r="AK17" s="210"/>
      <c r="AL17" s="210"/>
      <c r="AM17" s="210"/>
      <c r="AN17" s="209"/>
      <c r="AO17" s="82"/>
      <c r="AP17" s="82"/>
      <c r="AQ17" s="82"/>
      <c r="AR17" s="82"/>
      <c r="AS17" s="82"/>
      <c r="AT17" s="82"/>
      <c r="AU17" s="82"/>
      <c r="AV17" s="82"/>
      <c r="AW17" s="82">
        <v>640.92999999999995</v>
      </c>
      <c r="AX17" s="82" t="s">
        <v>1276</v>
      </c>
      <c r="AY17" s="82"/>
      <c r="AZ17" s="82"/>
      <c r="BA17" s="82"/>
      <c r="BB17" s="82"/>
      <c r="BC17" s="82"/>
      <c r="BD17" s="82"/>
      <c r="BE17" s="82"/>
      <c r="BF17" s="82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09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209"/>
      <c r="CT17" s="210"/>
      <c r="CU17" s="210"/>
      <c r="CV17" s="210"/>
      <c r="CW17" s="210"/>
      <c r="CX17" s="210"/>
      <c r="CY17" s="210"/>
      <c r="CZ17" s="210">
        <v>640.77</v>
      </c>
      <c r="DA17" s="210" t="s">
        <v>1246</v>
      </c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09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209"/>
      <c r="EF17" s="210"/>
      <c r="EG17" s="210"/>
      <c r="EH17" s="210"/>
      <c r="EI17" s="210"/>
      <c r="EJ17" s="210"/>
      <c r="EK17" s="210"/>
      <c r="EL17" s="210"/>
      <c r="EM17" s="210"/>
      <c r="EN17" s="210">
        <v>963</v>
      </c>
      <c r="EO17" s="210" t="s">
        <v>1276</v>
      </c>
      <c r="EP17" s="210"/>
      <c r="EQ17" s="210"/>
      <c r="ER17" s="210"/>
      <c r="ES17" s="210"/>
      <c r="ET17" s="210"/>
      <c r="EU17" s="210"/>
      <c r="EV17" s="210"/>
      <c r="EW17" s="210"/>
      <c r="EX17" s="209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209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09"/>
      <c r="GK17" s="82"/>
      <c r="GL17" s="82"/>
      <c r="GM17" s="82"/>
      <c r="GN17" s="82"/>
      <c r="GO17" s="82"/>
      <c r="GP17" s="82"/>
      <c r="GQ17" s="82"/>
      <c r="GR17" s="213"/>
      <c r="GS17" s="181"/>
      <c r="GT17" s="214"/>
      <c r="GU17" s="82"/>
      <c r="GV17" s="82"/>
      <c r="GW17" s="82">
        <v>3000</v>
      </c>
      <c r="GX17" s="82" t="s">
        <v>1230</v>
      </c>
      <c r="GY17" s="82"/>
      <c r="GZ17" s="82"/>
      <c r="HA17" s="82"/>
      <c r="HB17" s="82"/>
      <c r="HC17" s="209"/>
      <c r="HD17" s="210"/>
      <c r="HE17" s="210"/>
      <c r="HF17" s="210"/>
      <c r="HG17" s="210"/>
      <c r="HH17" s="210"/>
      <c r="HI17" s="210"/>
      <c r="HJ17" s="210"/>
      <c r="HK17" s="210"/>
      <c r="HL17" s="210"/>
      <c r="HM17" s="210"/>
      <c r="HN17" s="210"/>
      <c r="HO17" s="210"/>
      <c r="HP17" s="210">
        <v>1500</v>
      </c>
      <c r="HQ17" s="210" t="s">
        <v>1227</v>
      </c>
      <c r="HR17" s="210"/>
      <c r="HS17" s="210"/>
      <c r="HT17" s="210"/>
      <c r="HU17" s="210"/>
      <c r="HV17" s="209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209"/>
      <c r="IP17" s="210"/>
      <c r="IQ17" s="210"/>
      <c r="IR17" s="210"/>
      <c r="IS17" s="210"/>
      <c r="IT17" s="210"/>
      <c r="IU17" s="210"/>
      <c r="IV17" s="210"/>
      <c r="IW17" s="210"/>
      <c r="IX17" s="210"/>
      <c r="IY17" s="210"/>
      <c r="IZ17" s="210"/>
      <c r="JA17" s="210"/>
      <c r="JB17" s="210"/>
      <c r="JC17" s="210"/>
      <c r="JD17" s="210"/>
      <c r="JE17" s="210"/>
      <c r="JF17" s="210"/>
      <c r="JG17" s="210"/>
      <c r="JH17" s="209"/>
      <c r="JI17" s="82"/>
      <c r="JJ17" s="82"/>
      <c r="JK17" s="82"/>
      <c r="JL17" s="82"/>
      <c r="JM17" s="82"/>
      <c r="JN17" s="82"/>
      <c r="JO17" s="82"/>
      <c r="JP17" s="82"/>
      <c r="JQ17" s="82"/>
      <c r="JR17" s="82"/>
      <c r="JS17" s="82"/>
      <c r="JT17" s="82"/>
      <c r="JU17" s="82"/>
      <c r="JV17" s="82"/>
      <c r="JW17" s="82"/>
      <c r="JX17" s="82"/>
      <c r="JY17" s="82"/>
      <c r="JZ17" s="82"/>
      <c r="KA17" s="209"/>
      <c r="KB17" s="210"/>
      <c r="KC17" s="210"/>
      <c r="KD17" s="210"/>
      <c r="KE17" s="210"/>
      <c r="KF17" s="210"/>
      <c r="KG17" s="210"/>
      <c r="KH17" s="210"/>
      <c r="KI17" s="210"/>
      <c r="KJ17" s="210"/>
      <c r="KK17" s="210"/>
      <c r="KL17" s="210"/>
      <c r="KM17" s="210"/>
      <c r="KN17" s="210"/>
      <c r="KO17" s="210"/>
      <c r="KP17" s="210"/>
      <c r="KQ17" s="210"/>
      <c r="KR17" s="210"/>
      <c r="KS17" s="210"/>
      <c r="KT17" s="82"/>
      <c r="KU17" s="82"/>
      <c r="KV17" s="82"/>
      <c r="KW17" s="82"/>
      <c r="KX17" s="82"/>
      <c r="KY17" s="82"/>
      <c r="KZ17" s="82"/>
      <c r="LA17" s="82"/>
      <c r="LB17" s="82"/>
      <c r="LC17" s="82"/>
      <c r="LD17" s="82"/>
      <c r="LE17" s="82"/>
      <c r="LF17" s="82"/>
      <c r="LG17" s="82"/>
      <c r="LH17" s="82"/>
      <c r="LI17" s="82"/>
      <c r="LJ17" s="82"/>
      <c r="LK17" s="82"/>
      <c r="LL17" s="82"/>
      <c r="LM17" s="82"/>
      <c r="LN17" s="82"/>
      <c r="LO17" s="82"/>
      <c r="LP17" s="82"/>
      <c r="LQ17" s="82"/>
      <c r="LR17" s="82"/>
      <c r="LS17" s="82"/>
      <c r="LT17" s="82"/>
      <c r="LU17" s="82"/>
      <c r="LV17" s="82"/>
      <c r="LW17" s="82"/>
      <c r="LX17" s="82"/>
      <c r="LY17" s="82"/>
      <c r="LZ17" s="82"/>
      <c r="MA17" s="82"/>
      <c r="MB17" s="82"/>
      <c r="MC17" s="82"/>
      <c r="MD17" s="82">
        <f t="shared" si="0"/>
        <v>7798.65</v>
      </c>
    </row>
    <row r="18" spans="2:344" s="71" customFormat="1" ht="24.75" hidden="1" customHeight="1">
      <c r="B18" s="1177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209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09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09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209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09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209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09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209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09"/>
      <c r="GK18" s="82"/>
      <c r="GL18" s="82"/>
      <c r="GM18" s="82"/>
      <c r="GN18" s="82"/>
      <c r="GO18" s="82"/>
      <c r="GP18" s="82"/>
      <c r="GQ18" s="82"/>
      <c r="GR18" s="213"/>
      <c r="GS18" s="181"/>
      <c r="GT18" s="214"/>
      <c r="GU18" s="82"/>
      <c r="GV18" s="82"/>
      <c r="GW18" s="82">
        <v>3000</v>
      </c>
      <c r="GX18" s="82" t="s">
        <v>1213</v>
      </c>
      <c r="GY18" s="82"/>
      <c r="GZ18" s="82"/>
      <c r="HA18" s="82"/>
      <c r="HB18" s="82"/>
      <c r="HC18" s="209"/>
      <c r="HD18" s="210"/>
      <c r="HE18" s="210"/>
      <c r="HF18" s="210"/>
      <c r="HG18" s="210"/>
      <c r="HH18" s="210"/>
      <c r="HI18" s="210"/>
      <c r="HJ18" s="210"/>
      <c r="HK18" s="210"/>
      <c r="HL18" s="210"/>
      <c r="HM18" s="210"/>
      <c r="HN18" s="210"/>
      <c r="HO18" s="210"/>
      <c r="HP18" s="210"/>
      <c r="HQ18" s="210"/>
      <c r="HR18" s="210"/>
      <c r="HS18" s="210"/>
      <c r="HT18" s="210"/>
      <c r="HU18" s="210"/>
      <c r="HV18" s="209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209"/>
      <c r="IP18" s="210"/>
      <c r="IQ18" s="210"/>
      <c r="IR18" s="210"/>
      <c r="IS18" s="210"/>
      <c r="IT18" s="210"/>
      <c r="IU18" s="210"/>
      <c r="IV18" s="210"/>
      <c r="IW18" s="210"/>
      <c r="IX18" s="210"/>
      <c r="IY18" s="210"/>
      <c r="IZ18" s="210"/>
      <c r="JA18" s="210"/>
      <c r="JB18" s="210"/>
      <c r="JC18" s="210"/>
      <c r="JD18" s="210"/>
      <c r="JE18" s="210"/>
      <c r="JF18" s="210"/>
      <c r="JG18" s="210"/>
      <c r="JH18" s="209"/>
      <c r="JI18" s="82"/>
      <c r="JJ18" s="82"/>
      <c r="JK18" s="82"/>
      <c r="JL18" s="82"/>
      <c r="JM18" s="82"/>
      <c r="JN18" s="82"/>
      <c r="JO18" s="82"/>
      <c r="JP18" s="82"/>
      <c r="JQ18" s="82"/>
      <c r="JR18" s="82"/>
      <c r="JS18" s="82"/>
      <c r="JT18" s="82"/>
      <c r="JU18" s="82"/>
      <c r="JV18" s="82"/>
      <c r="JW18" s="82"/>
      <c r="JX18" s="82"/>
      <c r="JY18" s="82"/>
      <c r="JZ18" s="82"/>
      <c r="KA18" s="209"/>
      <c r="KB18" s="210"/>
      <c r="KC18" s="210"/>
      <c r="KD18" s="210"/>
      <c r="KE18" s="210"/>
      <c r="KF18" s="210"/>
      <c r="KG18" s="210"/>
      <c r="KH18" s="210"/>
      <c r="KI18" s="210"/>
      <c r="KJ18" s="210"/>
      <c r="KK18" s="210"/>
      <c r="KL18" s="210"/>
      <c r="KM18" s="210"/>
      <c r="KN18" s="210"/>
      <c r="KO18" s="210"/>
      <c r="KP18" s="210"/>
      <c r="KQ18" s="210"/>
      <c r="KR18" s="210"/>
      <c r="KS18" s="210"/>
      <c r="KT18" s="82"/>
      <c r="KU18" s="82"/>
      <c r="KV18" s="82"/>
      <c r="KW18" s="82"/>
      <c r="KX18" s="82"/>
      <c r="KY18" s="82"/>
      <c r="KZ18" s="82"/>
      <c r="LA18" s="82"/>
      <c r="LB18" s="82"/>
      <c r="LC18" s="82"/>
      <c r="LD18" s="82"/>
      <c r="LE18" s="82"/>
      <c r="LF18" s="82"/>
      <c r="LG18" s="82"/>
      <c r="LH18" s="82"/>
      <c r="LI18" s="82"/>
      <c r="LJ18" s="82"/>
      <c r="LK18" s="82"/>
      <c r="LL18" s="82"/>
      <c r="LM18" s="82"/>
      <c r="LN18" s="82"/>
      <c r="LO18" s="82"/>
      <c r="LP18" s="82"/>
      <c r="LQ18" s="82"/>
      <c r="LR18" s="82"/>
      <c r="LS18" s="82"/>
      <c r="LT18" s="82"/>
      <c r="LU18" s="82"/>
      <c r="LV18" s="82"/>
      <c r="LW18" s="82"/>
      <c r="LX18" s="82"/>
      <c r="LY18" s="82"/>
      <c r="LZ18" s="82"/>
      <c r="MA18" s="82"/>
      <c r="MB18" s="82"/>
      <c r="MC18" s="82"/>
      <c r="MD18" s="82">
        <f t="shared" si="0"/>
        <v>3000</v>
      </c>
    </row>
    <row r="19" spans="2:344" s="71" customFormat="1" ht="21">
      <c r="B19" s="1176">
        <v>242979</v>
      </c>
      <c r="C19" s="82">
        <v>192.6</v>
      </c>
      <c r="D19" s="82" t="s">
        <v>1276</v>
      </c>
      <c r="E19" s="82"/>
      <c r="F19" s="82"/>
      <c r="G19" s="82"/>
      <c r="H19" s="82"/>
      <c r="I19" s="82">
        <v>640.92999999999995</v>
      </c>
      <c r="J19" s="82" t="s">
        <v>1248</v>
      </c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209"/>
      <c r="V19" s="210"/>
      <c r="W19" s="210"/>
      <c r="X19" s="210">
        <v>3946.61</v>
      </c>
      <c r="Y19" s="210">
        <v>0.68181818181818177</v>
      </c>
      <c r="Z19" s="210"/>
      <c r="AA19" s="210"/>
      <c r="AB19" s="210">
        <v>101.65</v>
      </c>
      <c r="AC19" s="210" t="s">
        <v>1230</v>
      </c>
      <c r="AD19" s="210"/>
      <c r="AE19" s="210"/>
      <c r="AF19" s="210">
        <v>25000</v>
      </c>
      <c r="AG19" s="210" t="s">
        <v>1357</v>
      </c>
      <c r="AH19" s="210">
        <v>5600</v>
      </c>
      <c r="AI19" s="210" t="s">
        <v>1360</v>
      </c>
      <c r="AJ19" s="210"/>
      <c r="AK19" s="210"/>
      <c r="AL19" s="210"/>
      <c r="AM19" s="210"/>
      <c r="AN19" s="209"/>
      <c r="AO19" s="82"/>
      <c r="AP19" s="82"/>
      <c r="AQ19" s="82"/>
      <c r="AR19" s="82"/>
      <c r="AS19" s="82"/>
      <c r="AT19" s="82"/>
      <c r="AU19" s="82">
        <v>116.9</v>
      </c>
      <c r="AV19" s="82" t="s">
        <v>1358</v>
      </c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209"/>
      <c r="BH19" s="210"/>
      <c r="BI19" s="210"/>
      <c r="BJ19" s="210"/>
      <c r="BK19" s="210"/>
      <c r="BL19" s="210"/>
      <c r="BM19" s="210"/>
      <c r="BN19" s="210">
        <v>983.33</v>
      </c>
      <c r="BO19" s="210" t="s">
        <v>1359</v>
      </c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09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>
        <v>30000</v>
      </c>
      <c r="CL19" s="82" t="s">
        <v>1227</v>
      </c>
      <c r="CM19" s="82"/>
      <c r="CN19" s="82"/>
      <c r="CO19" s="82"/>
      <c r="CP19" s="82"/>
      <c r="CQ19" s="82"/>
      <c r="CR19" s="82"/>
      <c r="CS19" s="209"/>
      <c r="CT19" s="210">
        <v>300.16000000000003</v>
      </c>
      <c r="CU19" s="210" t="s">
        <v>1227</v>
      </c>
      <c r="CV19" s="210"/>
      <c r="CW19" s="210"/>
      <c r="CX19" s="210"/>
      <c r="CY19" s="210"/>
      <c r="CZ19" s="210">
        <v>640.92999999999995</v>
      </c>
      <c r="DA19" s="210" t="s">
        <v>1216</v>
      </c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09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209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09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>
        <v>5000</v>
      </c>
      <c r="FJ19" s="82" t="s">
        <v>1214</v>
      </c>
      <c r="FK19" s="82">
        <v>3000</v>
      </c>
      <c r="FL19" s="82" t="s">
        <v>1224</v>
      </c>
      <c r="FM19" s="82"/>
      <c r="FN19" s="82"/>
      <c r="FO19" s="82"/>
      <c r="FP19" s="82"/>
      <c r="FQ19" s="209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0"/>
      <c r="GC19" s="210"/>
      <c r="GD19" s="210"/>
      <c r="GE19" s="210"/>
      <c r="GF19" s="210"/>
      <c r="GG19" s="210"/>
      <c r="GH19" s="210"/>
      <c r="GI19" s="210"/>
      <c r="GJ19" s="209"/>
      <c r="GK19" s="82"/>
      <c r="GL19" s="82"/>
      <c r="GM19" s="82"/>
      <c r="GN19" s="82"/>
      <c r="GO19" s="82"/>
      <c r="GP19" s="82"/>
      <c r="GQ19" s="82"/>
      <c r="GR19" s="256"/>
      <c r="GS19" s="82"/>
      <c r="GT19" s="82"/>
      <c r="GU19" s="82"/>
      <c r="GV19" s="82"/>
      <c r="GW19" s="82">
        <v>3000</v>
      </c>
      <c r="GX19" s="82" t="s">
        <v>1361</v>
      </c>
      <c r="GY19" s="82"/>
      <c r="GZ19" s="82"/>
      <c r="HA19" s="82"/>
      <c r="HB19" s="82"/>
      <c r="HC19" s="209"/>
      <c r="HD19" s="210">
        <v>820</v>
      </c>
      <c r="HE19" s="210" t="s">
        <v>1221</v>
      </c>
      <c r="HF19" s="210">
        <v>2937.16</v>
      </c>
      <c r="HG19" s="210" t="s">
        <v>1250</v>
      </c>
      <c r="HH19" s="210"/>
      <c r="HI19" s="210"/>
      <c r="HJ19" s="210">
        <v>107</v>
      </c>
      <c r="HK19" s="210" t="s">
        <v>1360</v>
      </c>
      <c r="HL19" s="210">
        <v>856</v>
      </c>
      <c r="HM19" s="210" t="s">
        <v>1214</v>
      </c>
      <c r="HN19" s="210"/>
      <c r="HO19" s="210"/>
      <c r="HP19" s="210">
        <v>2000</v>
      </c>
      <c r="HQ19" s="210" t="s">
        <v>1361</v>
      </c>
      <c r="HR19" s="210"/>
      <c r="HS19" s="210"/>
      <c r="HT19" s="210"/>
      <c r="HU19" s="210"/>
      <c r="HV19" s="209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>
        <v>12800</v>
      </c>
      <c r="IL19" s="82" t="s">
        <v>1241</v>
      </c>
      <c r="IM19" s="82"/>
      <c r="IN19" s="82"/>
      <c r="IO19" s="209"/>
      <c r="IP19" s="210"/>
      <c r="IQ19" s="210"/>
      <c r="IR19" s="210">
        <v>3595.21</v>
      </c>
      <c r="IS19" s="210" t="s">
        <v>1224</v>
      </c>
      <c r="IT19" s="210"/>
      <c r="IU19" s="210"/>
      <c r="IV19" s="210"/>
      <c r="IW19" s="210"/>
      <c r="IX19" s="210">
        <v>1391</v>
      </c>
      <c r="IY19" s="210" t="s">
        <v>1243</v>
      </c>
      <c r="IZ19" s="210"/>
      <c r="JA19" s="210"/>
      <c r="JB19" s="210"/>
      <c r="JC19" s="210"/>
      <c r="JD19" s="210"/>
      <c r="JE19" s="210"/>
      <c r="JF19" s="210"/>
      <c r="JG19" s="210"/>
      <c r="JH19" s="209"/>
      <c r="JI19" s="82"/>
      <c r="JJ19" s="82"/>
      <c r="JK19" s="82"/>
      <c r="JL19" s="82"/>
      <c r="JM19" s="82"/>
      <c r="JN19" s="82"/>
      <c r="JO19" s="82"/>
      <c r="JP19" s="82"/>
      <c r="JQ19" s="82"/>
      <c r="JR19" s="82"/>
      <c r="JS19" s="82"/>
      <c r="JT19" s="82"/>
      <c r="JU19" s="82">
        <v>2500</v>
      </c>
      <c r="JV19" s="82" t="s">
        <v>1362</v>
      </c>
      <c r="JW19" s="82"/>
      <c r="JX19" s="82"/>
      <c r="JY19" s="82"/>
      <c r="JZ19" s="82"/>
      <c r="KA19" s="209"/>
      <c r="KB19" s="210"/>
      <c r="KC19" s="210"/>
      <c r="KD19" s="210">
        <v>2541.06</v>
      </c>
      <c r="KE19" s="210" t="s">
        <v>1223</v>
      </c>
      <c r="KF19" s="210"/>
      <c r="KG19" s="210"/>
      <c r="KH19" s="210">
        <v>214</v>
      </c>
      <c r="KI19" s="210" t="s">
        <v>1226</v>
      </c>
      <c r="KJ19" s="210"/>
      <c r="KK19" s="210"/>
      <c r="KL19" s="210"/>
      <c r="KM19" s="210"/>
      <c r="KN19" s="210">
        <v>2500</v>
      </c>
      <c r="KO19" s="210" t="s">
        <v>1002</v>
      </c>
      <c r="KP19" s="210"/>
      <c r="KQ19" s="210"/>
      <c r="KR19" s="210"/>
      <c r="KS19" s="210"/>
      <c r="KT19" s="82"/>
      <c r="KU19" s="82"/>
      <c r="KV19" s="82"/>
      <c r="KW19" s="82"/>
      <c r="KX19" s="82"/>
      <c r="KY19" s="82"/>
      <c r="KZ19" s="82"/>
      <c r="LA19" s="82"/>
      <c r="LB19" s="82"/>
      <c r="LC19" s="82"/>
      <c r="LD19" s="82"/>
      <c r="LE19" s="82"/>
      <c r="LF19" s="82"/>
      <c r="LG19" s="82"/>
      <c r="LH19" s="82"/>
      <c r="LI19" s="82"/>
      <c r="LJ19" s="82"/>
      <c r="LK19" s="82"/>
      <c r="LL19" s="82"/>
      <c r="LM19" s="82"/>
      <c r="LN19" s="82"/>
      <c r="LO19" s="82"/>
      <c r="LP19" s="82"/>
      <c r="LQ19" s="82"/>
      <c r="LR19" s="82"/>
      <c r="LS19" s="82"/>
      <c r="LT19" s="82"/>
      <c r="LU19" s="82"/>
      <c r="LV19" s="82"/>
      <c r="LW19" s="82"/>
      <c r="LX19" s="82"/>
      <c r="LY19" s="82"/>
      <c r="LZ19" s="82"/>
      <c r="MA19" s="82"/>
      <c r="MB19" s="82"/>
      <c r="MC19" s="82"/>
      <c r="MD19" s="82">
        <f t="shared" si="0"/>
        <v>110784.54000000001</v>
      </c>
    </row>
    <row r="20" spans="2:344" s="71" customFormat="1" ht="21">
      <c r="B20" s="1177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209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09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09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>
        <v>20000</v>
      </c>
      <c r="CL20" s="82">
        <v>0.53030303030303028</v>
      </c>
      <c r="CM20" s="82"/>
      <c r="CN20" s="82"/>
      <c r="CO20" s="82"/>
      <c r="CP20" s="82"/>
      <c r="CQ20" s="82"/>
      <c r="CR20" s="82"/>
      <c r="CS20" s="209"/>
      <c r="CT20" s="210"/>
      <c r="CU20" s="210"/>
      <c r="CV20" s="210"/>
      <c r="CW20" s="210"/>
      <c r="CX20" s="210"/>
      <c r="CY20" s="210"/>
      <c r="CZ20" s="210">
        <v>537.14</v>
      </c>
      <c r="DA20" s="210" t="s">
        <v>1249</v>
      </c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09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209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09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209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/>
      <c r="GD20" s="210"/>
      <c r="GE20" s="210"/>
      <c r="GF20" s="210"/>
      <c r="GG20" s="210"/>
      <c r="GH20" s="210"/>
      <c r="GI20" s="210"/>
      <c r="GJ20" s="209"/>
      <c r="GK20" s="82"/>
      <c r="GL20" s="82"/>
      <c r="GM20" s="82"/>
      <c r="GN20" s="82"/>
      <c r="GO20" s="82"/>
      <c r="GP20" s="82"/>
      <c r="GQ20" s="82"/>
      <c r="GR20" s="256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209"/>
      <c r="HD20" s="210"/>
      <c r="HE20" s="210"/>
      <c r="HF20" s="210"/>
      <c r="HG20" s="210"/>
      <c r="HH20" s="210"/>
      <c r="HI20" s="210"/>
      <c r="HJ20" s="210"/>
      <c r="HK20" s="210"/>
      <c r="HL20" s="210"/>
      <c r="HM20" s="210"/>
      <c r="HN20" s="210"/>
      <c r="HO20" s="210"/>
      <c r="HP20" s="210">
        <v>1500</v>
      </c>
      <c r="HQ20" s="210" t="s">
        <v>1357</v>
      </c>
      <c r="HR20" s="210"/>
      <c r="HS20" s="210"/>
      <c r="HT20" s="210"/>
      <c r="HU20" s="210"/>
      <c r="HV20" s="209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>
        <v>19200</v>
      </c>
      <c r="IL20" s="82" t="s">
        <v>1213</v>
      </c>
      <c r="IM20" s="82"/>
      <c r="IN20" s="82"/>
      <c r="IO20" s="209"/>
      <c r="IP20" s="210"/>
      <c r="IQ20" s="210"/>
      <c r="IR20" s="210"/>
      <c r="IS20" s="210"/>
      <c r="IT20" s="210"/>
      <c r="IU20" s="210"/>
      <c r="IV20" s="210"/>
      <c r="IW20" s="210"/>
      <c r="IX20" s="210"/>
      <c r="IY20" s="210"/>
      <c r="IZ20" s="210"/>
      <c r="JA20" s="210"/>
      <c r="JB20" s="210"/>
      <c r="JC20" s="210"/>
      <c r="JD20" s="210"/>
      <c r="JE20" s="210"/>
      <c r="JF20" s="210"/>
      <c r="JG20" s="210"/>
      <c r="JH20" s="209"/>
      <c r="JI20" s="82"/>
      <c r="JJ20" s="82"/>
      <c r="JK20" s="82"/>
      <c r="JL20" s="82"/>
      <c r="JM20" s="82"/>
      <c r="JN20" s="82"/>
      <c r="JO20" s="82"/>
      <c r="JP20" s="82"/>
      <c r="JQ20" s="82"/>
      <c r="JR20" s="82"/>
      <c r="JS20" s="82"/>
      <c r="JT20" s="82"/>
      <c r="JU20" s="82"/>
      <c r="JV20" s="82"/>
      <c r="JW20" s="82"/>
      <c r="JX20" s="82"/>
      <c r="JY20" s="82"/>
      <c r="JZ20" s="82"/>
      <c r="KA20" s="209"/>
      <c r="KB20" s="210"/>
      <c r="KC20" s="210"/>
      <c r="KD20" s="210"/>
      <c r="KE20" s="210"/>
      <c r="KF20" s="210"/>
      <c r="KG20" s="210"/>
      <c r="KH20" s="210"/>
      <c r="KI20" s="210"/>
      <c r="KJ20" s="210"/>
      <c r="KK20" s="210"/>
      <c r="KL20" s="210">
        <v>5000</v>
      </c>
      <c r="KM20" s="210" t="s">
        <v>1215</v>
      </c>
      <c r="KN20" s="210">
        <v>3000</v>
      </c>
      <c r="KO20" s="210" t="s">
        <v>1241</v>
      </c>
      <c r="KP20" s="210"/>
      <c r="KQ20" s="210"/>
      <c r="KR20" s="210"/>
      <c r="KS20" s="210"/>
      <c r="KT20" s="82"/>
      <c r="KU20" s="82"/>
      <c r="KV20" s="82"/>
      <c r="KW20" s="82"/>
      <c r="KX20" s="82"/>
      <c r="KY20" s="82"/>
      <c r="KZ20" s="82"/>
      <c r="LA20" s="82"/>
      <c r="LB20" s="82"/>
      <c r="LC20" s="82"/>
      <c r="LD20" s="82"/>
      <c r="LE20" s="82"/>
      <c r="LF20" s="82"/>
      <c r="LG20" s="82"/>
      <c r="LH20" s="82"/>
      <c r="LI20" s="82"/>
      <c r="LJ20" s="82"/>
      <c r="LK20" s="82"/>
      <c r="LL20" s="82"/>
      <c r="LM20" s="82"/>
      <c r="LN20" s="82"/>
      <c r="LO20" s="82"/>
      <c r="LP20" s="82"/>
      <c r="LQ20" s="82"/>
      <c r="LR20" s="82"/>
      <c r="LS20" s="82"/>
      <c r="LT20" s="82"/>
      <c r="LU20" s="82"/>
      <c r="LV20" s="82"/>
      <c r="LW20" s="82"/>
      <c r="LX20" s="82"/>
      <c r="LY20" s="82"/>
      <c r="LZ20" s="82"/>
      <c r="MA20" s="82"/>
      <c r="MB20" s="82"/>
      <c r="MC20" s="82"/>
      <c r="MD20" s="82">
        <f t="shared" si="0"/>
        <v>49237.14</v>
      </c>
    </row>
    <row r="21" spans="2:344" s="575" customFormat="1" ht="24.75" customHeight="1">
      <c r="B21" s="1178">
        <v>243009</v>
      </c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576"/>
      <c r="Y21" s="576"/>
      <c r="Z21" s="576"/>
      <c r="AA21" s="576"/>
      <c r="AB21" s="576"/>
      <c r="AC21" s="576"/>
      <c r="AD21" s="576"/>
      <c r="AE21" s="576"/>
      <c r="AF21" s="576"/>
      <c r="AG21" s="576"/>
      <c r="AH21" s="576">
        <v>2990</v>
      </c>
      <c r="AI21" s="577">
        <v>0.74242424242424243</v>
      </c>
      <c r="AJ21" s="576"/>
      <c r="AK21" s="576"/>
      <c r="AL21" s="576"/>
      <c r="AM21" s="576"/>
      <c r="AN21" s="576"/>
      <c r="AO21" s="576"/>
      <c r="AP21" s="576"/>
      <c r="AQ21" s="576"/>
      <c r="AR21" s="576"/>
      <c r="AS21" s="576"/>
      <c r="AT21" s="576"/>
      <c r="AU21" s="576"/>
      <c r="AV21" s="576"/>
      <c r="AW21" s="576"/>
      <c r="AX21" s="576"/>
      <c r="AY21" s="576"/>
      <c r="AZ21" s="576"/>
      <c r="BA21" s="576"/>
      <c r="BB21" s="576"/>
      <c r="BC21" s="576"/>
      <c r="BD21" s="576"/>
      <c r="BE21" s="576"/>
      <c r="BF21" s="576"/>
      <c r="BG21" s="576"/>
      <c r="BH21" s="576"/>
      <c r="BI21" s="576"/>
      <c r="BJ21" s="576"/>
      <c r="BK21" s="576"/>
      <c r="BL21" s="576"/>
      <c r="BM21" s="576"/>
      <c r="BN21" s="576"/>
      <c r="BO21" s="576"/>
      <c r="BP21" s="576"/>
      <c r="BQ21" s="576"/>
      <c r="BR21" s="576"/>
      <c r="BS21" s="576"/>
      <c r="BT21" s="576"/>
      <c r="BU21" s="576"/>
      <c r="BV21" s="576"/>
      <c r="BW21" s="576"/>
      <c r="BX21" s="576"/>
      <c r="BY21" s="576"/>
      <c r="BZ21" s="576"/>
      <c r="CA21" s="576"/>
      <c r="CB21" s="576"/>
      <c r="CC21" s="576"/>
      <c r="CD21" s="576"/>
      <c r="CE21" s="576"/>
      <c r="CF21" s="576"/>
      <c r="CG21" s="576"/>
      <c r="CH21" s="576"/>
      <c r="CI21" s="576"/>
      <c r="CJ21" s="576"/>
      <c r="CK21" s="576" t="s">
        <v>78</v>
      </c>
      <c r="CL21" s="576"/>
      <c r="CM21" s="576"/>
      <c r="CN21" s="576"/>
      <c r="CO21" s="576"/>
      <c r="CP21" s="576"/>
      <c r="CQ21" s="576"/>
      <c r="CR21" s="576"/>
      <c r="CS21" s="576"/>
      <c r="CT21" s="576"/>
      <c r="CU21" s="576"/>
      <c r="CV21" s="576"/>
      <c r="CW21" s="576"/>
      <c r="CX21" s="576"/>
      <c r="CY21" s="576"/>
      <c r="CZ21" s="576"/>
      <c r="DA21" s="576"/>
      <c r="DB21" s="576"/>
      <c r="DC21" s="576"/>
      <c r="DD21" s="576"/>
      <c r="DE21" s="576"/>
      <c r="DF21" s="576"/>
      <c r="DG21" s="576"/>
      <c r="DH21" s="576"/>
      <c r="DI21" s="576"/>
      <c r="DJ21" s="576"/>
      <c r="DK21" s="576"/>
      <c r="DL21" s="576"/>
      <c r="DM21" s="576"/>
      <c r="DN21" s="576"/>
      <c r="DO21" s="576"/>
      <c r="DP21" s="576"/>
      <c r="DQ21" s="576"/>
      <c r="DR21" s="576"/>
      <c r="DS21" s="576"/>
      <c r="DT21" s="576"/>
      <c r="DU21" s="576"/>
      <c r="DV21" s="576"/>
      <c r="DW21" s="576"/>
      <c r="DX21" s="576"/>
      <c r="DY21" s="576"/>
      <c r="DZ21" s="576"/>
      <c r="EA21" s="576"/>
      <c r="EB21" s="576"/>
      <c r="EC21" s="576"/>
      <c r="ED21" s="576"/>
      <c r="EE21" s="576"/>
      <c r="EF21" s="576"/>
      <c r="EG21" s="576"/>
      <c r="EH21" s="576"/>
      <c r="EI21" s="576"/>
      <c r="EJ21" s="576"/>
      <c r="EK21" s="576"/>
      <c r="EL21" s="576"/>
      <c r="EM21" s="576"/>
      <c r="EN21" s="576"/>
      <c r="EO21" s="576"/>
      <c r="EP21" s="576"/>
      <c r="EQ21" s="576"/>
      <c r="ER21" s="576"/>
      <c r="ES21" s="576"/>
      <c r="ET21" s="576"/>
      <c r="EU21" s="576"/>
      <c r="EV21" s="576"/>
      <c r="EW21" s="576"/>
      <c r="EX21" s="576"/>
      <c r="EY21" s="576"/>
      <c r="EZ21" s="576"/>
      <c r="FA21" s="576"/>
      <c r="FB21" s="576"/>
      <c r="FC21" s="576"/>
      <c r="FD21" s="576"/>
      <c r="FE21" s="576">
        <v>101.65</v>
      </c>
      <c r="FF21" s="578" t="s">
        <v>1360</v>
      </c>
      <c r="FG21" s="576"/>
      <c r="FH21" s="576"/>
      <c r="FI21" s="576">
        <v>13268</v>
      </c>
      <c r="FJ21" s="576"/>
      <c r="FK21" s="576"/>
      <c r="FL21" s="576"/>
      <c r="FM21" s="576"/>
      <c r="FN21" s="576"/>
      <c r="FO21" s="576"/>
      <c r="FP21" s="576"/>
      <c r="FQ21" s="576"/>
      <c r="FR21" s="576"/>
      <c r="FS21" s="576"/>
      <c r="FT21" s="576"/>
      <c r="FU21" s="576"/>
      <c r="FV21" s="576"/>
      <c r="FW21" s="576"/>
      <c r="FX21" s="576"/>
      <c r="FY21" s="576"/>
      <c r="FZ21" s="576"/>
      <c r="GA21" s="576"/>
      <c r="GB21" s="576"/>
      <c r="GC21" s="576"/>
      <c r="GD21" s="576"/>
      <c r="GE21" s="576"/>
      <c r="GF21" s="576"/>
      <c r="GG21" s="576"/>
      <c r="GH21" s="576"/>
      <c r="GI21" s="576"/>
      <c r="GJ21" s="576"/>
      <c r="GK21" s="576"/>
      <c r="GL21" s="576"/>
      <c r="GM21" s="576">
        <v>2237.89</v>
      </c>
      <c r="GN21" s="577" t="s">
        <v>1228</v>
      </c>
      <c r="GO21" s="576"/>
      <c r="GP21" s="576"/>
      <c r="GQ21" s="576">
        <v>480.43</v>
      </c>
      <c r="GR21" s="578" t="s">
        <v>1250</v>
      </c>
      <c r="GS21" s="576">
        <v>3210</v>
      </c>
      <c r="GT21" s="577" t="s">
        <v>1214</v>
      </c>
      <c r="GU21" s="576"/>
      <c r="GV21" s="576"/>
      <c r="GW21" s="576">
        <v>3000</v>
      </c>
      <c r="GX21" s="578" t="s">
        <v>1360</v>
      </c>
      <c r="GY21" s="576"/>
      <c r="GZ21" s="576"/>
      <c r="HA21" s="576"/>
      <c r="HB21" s="576"/>
      <c r="HC21" s="576"/>
      <c r="HD21" s="576">
        <v>665</v>
      </c>
      <c r="HE21" s="578" t="s">
        <v>1382</v>
      </c>
      <c r="HF21" s="576">
        <v>4655.7700000000004</v>
      </c>
      <c r="HG21" s="578" t="s">
        <v>1380</v>
      </c>
      <c r="HH21" s="576"/>
      <c r="HI21" s="576"/>
      <c r="HJ21" s="576"/>
      <c r="HK21" s="576"/>
      <c r="HL21" s="576"/>
      <c r="HM21" s="576"/>
      <c r="HN21" s="576"/>
      <c r="HO21" s="576"/>
      <c r="HP21" s="576">
        <v>2000</v>
      </c>
      <c r="HQ21" s="578" t="s">
        <v>1248</v>
      </c>
      <c r="HR21" s="576"/>
      <c r="HS21" s="576"/>
      <c r="HT21" s="576"/>
      <c r="HU21" s="576"/>
      <c r="HV21" s="576"/>
      <c r="HW21" s="576"/>
      <c r="HX21" s="576"/>
      <c r="HY21" s="576"/>
      <c r="HZ21" s="576"/>
      <c r="IA21" s="576"/>
      <c r="IB21" s="576"/>
      <c r="IC21" s="576"/>
      <c r="ID21" s="576"/>
      <c r="IE21" s="576"/>
      <c r="IF21" s="576"/>
      <c r="IG21" s="576"/>
      <c r="IH21" s="576"/>
      <c r="II21" s="576"/>
      <c r="IJ21" s="576"/>
      <c r="IK21" s="576">
        <v>6400</v>
      </c>
      <c r="IL21" s="732">
        <v>0.65151515151515149</v>
      </c>
      <c r="IM21" s="576"/>
      <c r="IN21" s="576"/>
      <c r="IO21" s="576"/>
      <c r="IP21" s="576"/>
      <c r="IQ21" s="576"/>
      <c r="IR21" s="576"/>
      <c r="IS21" s="576"/>
      <c r="IT21" s="576"/>
      <c r="IU21" s="576"/>
      <c r="IV21" s="576"/>
      <c r="IW21" s="576"/>
      <c r="IX21" s="576"/>
      <c r="IY21" s="576"/>
      <c r="IZ21" s="576"/>
      <c r="JA21" s="576"/>
      <c r="JB21" s="576"/>
      <c r="JC21" s="576"/>
      <c r="JD21" s="576"/>
      <c r="JE21" s="576"/>
      <c r="JF21" s="576"/>
      <c r="JG21" s="576"/>
      <c r="JH21" s="576"/>
      <c r="JI21" s="576"/>
      <c r="JJ21" s="576"/>
      <c r="JK21" s="576">
        <v>1867.73</v>
      </c>
      <c r="JL21" s="578" t="s">
        <v>1381</v>
      </c>
      <c r="JM21" s="576"/>
      <c r="JN21" s="576"/>
      <c r="JO21" s="576"/>
      <c r="JP21" s="576"/>
      <c r="JQ21" s="576"/>
      <c r="JR21" s="576"/>
      <c r="JS21" s="576"/>
      <c r="JT21" s="576"/>
      <c r="JU21" s="576"/>
      <c r="JV21" s="576"/>
      <c r="JW21" s="576"/>
      <c r="JX21" s="576"/>
      <c r="JY21" s="576"/>
      <c r="JZ21" s="576"/>
      <c r="KA21" s="576"/>
      <c r="KB21" s="576"/>
      <c r="KC21" s="576"/>
      <c r="KD21" s="576"/>
      <c r="KE21" s="576"/>
      <c r="KF21" s="576"/>
      <c r="KG21" s="576"/>
      <c r="KH21" s="576"/>
      <c r="KI21" s="576"/>
      <c r="KJ21" s="576"/>
      <c r="KK21" s="576"/>
      <c r="KL21" s="576">
        <v>5024</v>
      </c>
      <c r="KM21" s="577" t="s">
        <v>1246</v>
      </c>
      <c r="KN21" s="576"/>
      <c r="KO21" s="576"/>
      <c r="KP21" s="576"/>
      <c r="KQ21" s="576"/>
      <c r="KR21" s="576"/>
      <c r="KS21" s="576">
        <v>0</v>
      </c>
      <c r="KT21" s="576"/>
      <c r="KU21" s="576"/>
      <c r="KV21" s="576"/>
      <c r="KW21" s="576"/>
      <c r="KX21" s="576"/>
      <c r="KY21" s="576"/>
      <c r="KZ21" s="576"/>
      <c r="LA21" s="576"/>
      <c r="LB21" s="576"/>
      <c r="LC21" s="576"/>
      <c r="LD21" s="576"/>
      <c r="LE21" s="576"/>
      <c r="LF21" s="576"/>
      <c r="LG21" s="576"/>
      <c r="LH21" s="576"/>
      <c r="LI21" s="576"/>
      <c r="LJ21" s="576"/>
      <c r="LK21" s="576"/>
      <c r="LL21" s="576"/>
      <c r="LM21" s="576"/>
      <c r="LN21" s="576"/>
      <c r="LO21" s="576"/>
      <c r="LP21" s="576"/>
      <c r="LQ21" s="576"/>
      <c r="LR21" s="576"/>
      <c r="LS21" s="576"/>
      <c r="LT21" s="576"/>
      <c r="LU21" s="576"/>
      <c r="LV21" s="576"/>
      <c r="LW21" s="576"/>
      <c r="LX21" s="576"/>
      <c r="LY21" s="576"/>
      <c r="LZ21" s="576"/>
      <c r="MA21" s="576"/>
      <c r="MB21" s="576"/>
      <c r="MC21" s="576"/>
      <c r="MD21" s="82" t="e">
        <f>C21+E21+G21+I21+K21+M21+O21+Q21+S21+V21+X21+Z21+AB21+AD21+AF21+AH21+AJ21+AL21+AO21+AQ21+AS21+AU21+AW21+AY21+BA21+BC21+BE21+BH21+BL21+BJ21+BN21+BP21+BR21+BT21+BV21+BX21+CA21+CC21+CE21+CG21+CI21+CK21+CM21+CO21+CQ21+CT21+CV21+CX21+CZ21+DB21+DD21+DF21+DH21+DJ21+DM21+DO21+DQ21+DS21+DU21+DW21+DY21+EC21++EA21+EF21+EH21+EJ21+EL21+EN21+EP21+ER21+ET21+EV21+EY21+FA21+FC21+FE21+FG21+FI21+FK21+FM21+FO21+FR21+FT21+FV21+FX21+FZ21+GB21+GD21+GF21+GH21+GK21+GM21+GO21+GQ21+GS21+GU21+GW21+GY21+HA21+HD21+HF21+HH21+HJ21+HL21+HN21+HP21+HR21+HT21+HW21+HY21+IA21+IC21+IE21+IG21+II21+IK21+IM21+IP21+IR21+IT21+IV21+IX21+IZ21+JB21+JD21+JI21++JF21+JK21+JM21+JO21+JQ21+JS21+JU21+JW21+JY21+KB21+KD21+KF21+KH21+KJ21+KL21+KN21+KP21+KR21</f>
        <v>#VALUE!</v>
      </c>
    </row>
    <row r="22" spans="2:344" s="575" customFormat="1" ht="24.75" customHeight="1">
      <c r="B22" s="1179"/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6"/>
      <c r="T22" s="576"/>
      <c r="U22" s="576"/>
      <c r="V22" s="576"/>
      <c r="W22" s="576"/>
      <c r="X22" s="576"/>
      <c r="Y22" s="576"/>
      <c r="Z22" s="576"/>
      <c r="AA22" s="576"/>
      <c r="AB22" s="576"/>
      <c r="AC22" s="576"/>
      <c r="AD22" s="576"/>
      <c r="AE22" s="576"/>
      <c r="AF22" s="576"/>
      <c r="AG22" s="576"/>
      <c r="AH22" s="576"/>
      <c r="AI22" s="576"/>
      <c r="AJ22" s="576"/>
      <c r="AK22" s="576"/>
      <c r="AL22" s="576"/>
      <c r="AM22" s="576"/>
      <c r="AN22" s="576"/>
      <c r="AO22" s="576"/>
      <c r="AP22" s="576"/>
      <c r="AQ22" s="576"/>
      <c r="AR22" s="576"/>
      <c r="AS22" s="576"/>
      <c r="AT22" s="576"/>
      <c r="AU22" s="576"/>
      <c r="AV22" s="576"/>
      <c r="AW22" s="576"/>
      <c r="AX22" s="576"/>
      <c r="AY22" s="576"/>
      <c r="AZ22" s="576"/>
      <c r="BA22" s="576"/>
      <c r="BB22" s="576"/>
      <c r="BC22" s="576"/>
      <c r="BD22" s="576"/>
      <c r="BE22" s="576"/>
      <c r="BF22" s="576"/>
      <c r="BG22" s="576"/>
      <c r="BH22" s="576"/>
      <c r="BI22" s="576"/>
      <c r="BJ22" s="576"/>
      <c r="BK22" s="576"/>
      <c r="BL22" s="576"/>
      <c r="BM22" s="576"/>
      <c r="BN22" s="576"/>
      <c r="BO22" s="576"/>
      <c r="BP22" s="576"/>
      <c r="BQ22" s="576"/>
      <c r="BR22" s="576"/>
      <c r="BS22" s="576"/>
      <c r="BT22" s="576"/>
      <c r="BU22" s="576"/>
      <c r="BV22" s="576"/>
      <c r="BW22" s="576"/>
      <c r="BX22" s="576"/>
      <c r="BY22" s="576"/>
      <c r="BZ22" s="576"/>
      <c r="CA22" s="576"/>
      <c r="CB22" s="576"/>
      <c r="CC22" s="576"/>
      <c r="CD22" s="576"/>
      <c r="CE22" s="576"/>
      <c r="CF22" s="576"/>
      <c r="CG22" s="576"/>
      <c r="CH22" s="576"/>
      <c r="CI22" s="576"/>
      <c r="CJ22" s="576"/>
      <c r="CK22" s="576"/>
      <c r="CL22" s="576"/>
      <c r="CM22" s="576"/>
      <c r="CN22" s="576"/>
      <c r="CO22" s="576"/>
      <c r="CP22" s="576"/>
      <c r="CQ22" s="576"/>
      <c r="CR22" s="576"/>
      <c r="CS22" s="576"/>
      <c r="CT22" s="576"/>
      <c r="CU22" s="576"/>
      <c r="CV22" s="576"/>
      <c r="CW22" s="576"/>
      <c r="CX22" s="576"/>
      <c r="CY22" s="576"/>
      <c r="CZ22" s="576"/>
      <c r="DA22" s="576"/>
      <c r="DB22" s="576"/>
      <c r="DC22" s="576"/>
      <c r="DD22" s="576"/>
      <c r="DE22" s="576"/>
      <c r="DF22" s="576"/>
      <c r="DG22" s="576"/>
      <c r="DH22" s="576"/>
      <c r="DI22" s="576"/>
      <c r="DJ22" s="576"/>
      <c r="DK22" s="576"/>
      <c r="DL22" s="576"/>
      <c r="DM22" s="576"/>
      <c r="DN22" s="576"/>
      <c r="DO22" s="576"/>
      <c r="DP22" s="576"/>
      <c r="DQ22" s="576"/>
      <c r="DR22" s="576"/>
      <c r="DS22" s="576"/>
      <c r="DT22" s="576"/>
      <c r="DU22" s="576"/>
      <c r="DV22" s="576"/>
      <c r="DW22" s="576"/>
      <c r="DX22" s="576"/>
      <c r="DY22" s="576"/>
      <c r="DZ22" s="576"/>
      <c r="EA22" s="576"/>
      <c r="EB22" s="576"/>
      <c r="EC22" s="576"/>
      <c r="ED22" s="576"/>
      <c r="EE22" s="576"/>
      <c r="EF22" s="576"/>
      <c r="EG22" s="576"/>
      <c r="EH22" s="576"/>
      <c r="EI22" s="576"/>
      <c r="EJ22" s="576"/>
      <c r="EK22" s="576"/>
      <c r="EL22" s="576"/>
      <c r="EM22" s="576"/>
      <c r="EN22" s="576"/>
      <c r="EO22" s="576"/>
      <c r="EP22" s="576"/>
      <c r="EQ22" s="576"/>
      <c r="ER22" s="576"/>
      <c r="ES22" s="576"/>
      <c r="ET22" s="576"/>
      <c r="EU22" s="576"/>
      <c r="EV22" s="576"/>
      <c r="EW22" s="576"/>
      <c r="EX22" s="576"/>
      <c r="EY22" s="576"/>
      <c r="EZ22" s="576"/>
      <c r="FA22" s="576"/>
      <c r="FB22" s="576"/>
      <c r="FC22" s="576"/>
      <c r="FD22" s="576"/>
      <c r="FE22" s="576"/>
      <c r="FF22" s="576"/>
      <c r="FG22" s="576"/>
      <c r="FH22" s="576"/>
      <c r="FI22" s="576"/>
      <c r="FJ22" s="576"/>
      <c r="FK22" s="576"/>
      <c r="FL22" s="576"/>
      <c r="FM22" s="576"/>
      <c r="FN22" s="576"/>
      <c r="FO22" s="576"/>
      <c r="FP22" s="576"/>
      <c r="FQ22" s="576"/>
      <c r="FR22" s="576"/>
      <c r="FS22" s="576"/>
      <c r="FT22" s="576"/>
      <c r="FU22" s="576"/>
      <c r="FV22" s="576"/>
      <c r="FW22" s="576"/>
      <c r="FX22" s="576"/>
      <c r="FY22" s="576"/>
      <c r="FZ22" s="576"/>
      <c r="GA22" s="576"/>
      <c r="GB22" s="576"/>
      <c r="GC22" s="576"/>
      <c r="GD22" s="576"/>
      <c r="GE22" s="576"/>
      <c r="GF22" s="576"/>
      <c r="GG22" s="576"/>
      <c r="GH22" s="576"/>
      <c r="GI22" s="576"/>
      <c r="GJ22" s="576"/>
      <c r="GK22" s="576"/>
      <c r="GL22" s="576"/>
      <c r="GM22" s="576"/>
      <c r="GN22" s="576"/>
      <c r="GO22" s="576"/>
      <c r="GP22" s="576"/>
      <c r="GQ22" s="576">
        <v>107</v>
      </c>
      <c r="GR22" s="578" t="s">
        <v>1384</v>
      </c>
      <c r="GS22" s="576"/>
      <c r="GT22" s="579"/>
      <c r="GU22" s="576"/>
      <c r="GV22" s="576"/>
      <c r="GW22" s="576"/>
      <c r="GX22" s="576"/>
      <c r="GY22" s="576"/>
      <c r="GZ22" s="576"/>
      <c r="HA22" s="576"/>
      <c r="HB22" s="576"/>
      <c r="HC22" s="576"/>
      <c r="HD22" s="576"/>
      <c r="HE22" s="576"/>
      <c r="HF22" s="576"/>
      <c r="HG22" s="576"/>
      <c r="HH22" s="576"/>
      <c r="HI22" s="576"/>
      <c r="HJ22" s="576"/>
      <c r="HK22" s="576"/>
      <c r="HL22" s="576"/>
      <c r="HM22" s="576"/>
      <c r="HN22" s="576"/>
      <c r="HO22" s="576"/>
      <c r="HP22" s="576">
        <v>1500</v>
      </c>
      <c r="HQ22" s="578" t="s">
        <v>1247</v>
      </c>
      <c r="HR22" s="576"/>
      <c r="HS22" s="576"/>
      <c r="HT22" s="576"/>
      <c r="HU22" s="576"/>
      <c r="HV22" s="576"/>
      <c r="HW22" s="576"/>
      <c r="HX22" s="576"/>
      <c r="HY22" s="576"/>
      <c r="HZ22" s="576"/>
      <c r="IA22" s="576"/>
      <c r="IB22" s="576"/>
      <c r="IC22" s="576"/>
      <c r="ID22" s="576"/>
      <c r="IE22" s="576"/>
      <c r="IF22" s="576"/>
      <c r="IG22" s="576"/>
      <c r="IH22" s="576"/>
      <c r="II22" s="576"/>
      <c r="IJ22" s="576"/>
      <c r="IK22" s="576"/>
      <c r="IL22" s="576"/>
      <c r="IM22" s="576"/>
      <c r="IN22" s="576"/>
      <c r="IO22" s="576"/>
      <c r="IP22" s="576"/>
      <c r="IQ22" s="576"/>
      <c r="IR22" s="576"/>
      <c r="IS22" s="576"/>
      <c r="IT22" s="576"/>
      <c r="IU22" s="576"/>
      <c r="IV22" s="576"/>
      <c r="IW22" s="576"/>
      <c r="IX22" s="576"/>
      <c r="IY22" s="576"/>
      <c r="IZ22" s="576"/>
      <c r="JA22" s="576"/>
      <c r="JB22" s="576"/>
      <c r="JC22" s="576"/>
      <c r="JD22" s="576"/>
      <c r="JE22" s="576"/>
      <c r="JF22" s="576"/>
      <c r="JG22" s="576"/>
      <c r="JH22" s="576"/>
      <c r="JI22" s="576"/>
      <c r="JJ22" s="576"/>
      <c r="JK22" s="576"/>
      <c r="JL22" s="576"/>
      <c r="JM22" s="576"/>
      <c r="JN22" s="576"/>
      <c r="JO22" s="576"/>
      <c r="JP22" s="576"/>
      <c r="JQ22" s="576"/>
      <c r="JR22" s="576"/>
      <c r="JS22" s="576"/>
      <c r="JT22" s="576"/>
      <c r="JU22" s="576"/>
      <c r="JV22" s="576"/>
      <c r="JW22" s="576"/>
      <c r="JX22" s="576"/>
      <c r="JY22" s="576"/>
      <c r="JZ22" s="576"/>
      <c r="KA22" s="576"/>
      <c r="KB22" s="576"/>
      <c r="KC22" s="576"/>
      <c r="KD22" s="576"/>
      <c r="KE22" s="576"/>
      <c r="KF22" s="576"/>
      <c r="KG22" s="576"/>
      <c r="KH22" s="576"/>
      <c r="KI22" s="576"/>
      <c r="KJ22" s="576"/>
      <c r="KK22" s="576"/>
      <c r="KL22" s="576">
        <v>16720.900000000001</v>
      </c>
      <c r="KM22" s="577" t="s">
        <v>1225</v>
      </c>
      <c r="KN22" s="576"/>
      <c r="KO22" s="576"/>
      <c r="KP22" s="576"/>
      <c r="KQ22" s="576"/>
      <c r="KR22" s="576"/>
      <c r="KS22" s="576"/>
      <c r="KT22" s="576"/>
      <c r="KU22" s="576"/>
      <c r="KV22" s="576"/>
      <c r="KW22" s="576"/>
      <c r="KX22" s="576"/>
      <c r="KY22" s="576"/>
      <c r="KZ22" s="576"/>
      <c r="LA22" s="576"/>
      <c r="LB22" s="576"/>
      <c r="LC22" s="576"/>
      <c r="LD22" s="576"/>
      <c r="LE22" s="576"/>
      <c r="LF22" s="576"/>
      <c r="LG22" s="576"/>
      <c r="LH22" s="576"/>
      <c r="LI22" s="576"/>
      <c r="LJ22" s="576"/>
      <c r="LK22" s="576"/>
      <c r="LL22" s="576"/>
      <c r="LM22" s="576"/>
      <c r="LN22" s="576"/>
      <c r="LO22" s="576"/>
      <c r="LP22" s="576"/>
      <c r="LQ22" s="576"/>
      <c r="LR22" s="576"/>
      <c r="LS22" s="576"/>
      <c r="LT22" s="576"/>
      <c r="LU22" s="576"/>
      <c r="LV22" s="576"/>
      <c r="LW22" s="576"/>
      <c r="LX22" s="576"/>
      <c r="LY22" s="576"/>
      <c r="LZ22" s="576"/>
      <c r="MA22" s="576"/>
      <c r="MB22" s="576"/>
      <c r="MC22" s="576"/>
      <c r="MD22" s="82">
        <f t="shared" si="0"/>
        <v>18327.900000000001</v>
      </c>
    </row>
    <row r="23" spans="2:344" s="71" customFormat="1" ht="24.75" customHeight="1">
      <c r="B23" s="1176">
        <v>243040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209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09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209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09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209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09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209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09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209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09"/>
      <c r="GK23" s="82"/>
      <c r="GL23" s="82"/>
      <c r="GM23" s="82"/>
      <c r="GN23" s="82"/>
      <c r="GO23" s="82"/>
      <c r="GP23" s="82"/>
      <c r="GQ23" s="82"/>
      <c r="GR23" s="82"/>
      <c r="GS23" s="82"/>
      <c r="GT23" s="212"/>
      <c r="GU23" s="82"/>
      <c r="GV23" s="82"/>
      <c r="GW23" s="82"/>
      <c r="GX23" s="82"/>
      <c r="GY23" s="82"/>
      <c r="GZ23" s="82"/>
      <c r="HA23" s="82"/>
      <c r="HB23" s="82"/>
      <c r="HC23" s="209"/>
      <c r="HD23" s="210"/>
      <c r="HE23" s="210"/>
      <c r="HF23" s="210"/>
      <c r="HG23" s="210"/>
      <c r="HH23" s="210"/>
      <c r="HI23" s="210"/>
      <c r="HJ23" s="210"/>
      <c r="HK23" s="210"/>
      <c r="HL23" s="210"/>
      <c r="HM23" s="210"/>
      <c r="HN23" s="210"/>
      <c r="HO23" s="210"/>
      <c r="HP23" s="210"/>
      <c r="HQ23" s="210"/>
      <c r="HR23" s="210"/>
      <c r="HS23" s="210"/>
      <c r="HT23" s="210"/>
      <c r="HU23" s="210"/>
      <c r="HV23" s="209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209"/>
      <c r="IP23" s="210"/>
      <c r="IQ23" s="210"/>
      <c r="IR23" s="210"/>
      <c r="IS23" s="210"/>
      <c r="IT23" s="210"/>
      <c r="IU23" s="210"/>
      <c r="IV23" s="210"/>
      <c r="IW23" s="210"/>
      <c r="IX23" s="210"/>
      <c r="IY23" s="210"/>
      <c r="IZ23" s="210"/>
      <c r="JA23" s="210"/>
      <c r="JB23" s="210"/>
      <c r="JC23" s="210"/>
      <c r="JD23" s="210"/>
      <c r="JE23" s="210"/>
      <c r="JF23" s="210"/>
      <c r="JG23" s="210"/>
      <c r="JH23" s="209"/>
      <c r="JI23" s="82"/>
      <c r="JJ23" s="82"/>
      <c r="JK23" s="82"/>
      <c r="JL23" s="82"/>
      <c r="JM23" s="82"/>
      <c r="JN23" s="82"/>
      <c r="JO23" s="82"/>
      <c r="JP23" s="82"/>
      <c r="JQ23" s="82"/>
      <c r="JR23" s="82"/>
      <c r="JS23" s="82"/>
      <c r="JT23" s="82"/>
      <c r="JU23" s="82"/>
      <c r="JV23" s="82"/>
      <c r="JW23" s="82"/>
      <c r="JX23" s="82"/>
      <c r="JY23" s="82"/>
      <c r="JZ23" s="82"/>
      <c r="KA23" s="209"/>
      <c r="KB23" s="210"/>
      <c r="KC23" s="210"/>
      <c r="KD23" s="210"/>
      <c r="KE23" s="210"/>
      <c r="KF23" s="210"/>
      <c r="KG23" s="210"/>
      <c r="KH23" s="210"/>
      <c r="KI23" s="210"/>
      <c r="KJ23" s="210"/>
      <c r="KK23" s="210"/>
      <c r="KL23" s="210"/>
      <c r="KM23" s="210"/>
      <c r="KN23" s="210"/>
      <c r="KO23" s="210"/>
      <c r="KP23" s="210"/>
      <c r="KQ23" s="210"/>
      <c r="KR23" s="210"/>
      <c r="KS23" s="210"/>
      <c r="KT23" s="82"/>
      <c r="KU23" s="82"/>
      <c r="KV23" s="82"/>
      <c r="KW23" s="82"/>
      <c r="KX23" s="82"/>
      <c r="KY23" s="82"/>
      <c r="KZ23" s="82"/>
      <c r="LA23" s="82"/>
      <c r="LB23" s="82"/>
      <c r="LC23" s="82"/>
      <c r="LD23" s="82"/>
      <c r="LE23" s="82"/>
      <c r="LF23" s="82"/>
      <c r="LG23" s="82"/>
      <c r="LH23" s="82"/>
      <c r="LI23" s="82"/>
      <c r="LJ23" s="82"/>
      <c r="LK23" s="82"/>
      <c r="LL23" s="82"/>
      <c r="LM23" s="82"/>
      <c r="LN23" s="82"/>
      <c r="LO23" s="82"/>
      <c r="LP23" s="82"/>
      <c r="LQ23" s="82"/>
      <c r="LR23" s="82"/>
      <c r="LS23" s="82"/>
      <c r="LT23" s="82"/>
      <c r="LU23" s="82"/>
      <c r="LV23" s="82"/>
      <c r="LW23" s="82"/>
      <c r="LX23" s="82"/>
      <c r="LY23" s="82"/>
      <c r="LZ23" s="82"/>
      <c r="MA23" s="82"/>
      <c r="MB23" s="82"/>
      <c r="MC23" s="82"/>
      <c r="MD23" s="82">
        <f t="shared" si="0"/>
        <v>0</v>
      </c>
    </row>
    <row r="24" spans="2:344" s="71" customFormat="1" ht="24.75" customHeight="1">
      <c r="B24" s="1180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209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09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209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09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209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09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209"/>
      <c r="EF24" s="210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09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209"/>
      <c r="FR24" s="210"/>
      <c r="FS24" s="210"/>
      <c r="FT24" s="210"/>
      <c r="FU24" s="210"/>
      <c r="FV24" s="210"/>
      <c r="FW24" s="210"/>
      <c r="FX24" s="210"/>
      <c r="FY24" s="210"/>
      <c r="FZ24" s="210"/>
      <c r="GA24" s="210"/>
      <c r="GB24" s="210"/>
      <c r="GC24" s="210"/>
      <c r="GD24" s="210"/>
      <c r="GE24" s="210"/>
      <c r="GF24" s="210"/>
      <c r="GG24" s="210"/>
      <c r="GH24" s="210"/>
      <c r="GI24" s="210"/>
      <c r="GJ24" s="209"/>
      <c r="GK24" s="82"/>
      <c r="GL24" s="82"/>
      <c r="GM24" s="82"/>
      <c r="GN24" s="82"/>
      <c r="GO24" s="82"/>
      <c r="GP24" s="82"/>
      <c r="GQ24" s="82"/>
      <c r="GR24" s="82"/>
      <c r="GS24" s="82"/>
      <c r="GT24" s="212"/>
      <c r="GU24" s="82"/>
      <c r="GV24" s="82"/>
      <c r="GW24" s="82"/>
      <c r="GX24" s="82"/>
      <c r="GY24" s="82"/>
      <c r="GZ24" s="82"/>
      <c r="HA24" s="82"/>
      <c r="HB24" s="82"/>
      <c r="HC24" s="209"/>
      <c r="HD24" s="210"/>
      <c r="HE24" s="210"/>
      <c r="HF24" s="210"/>
      <c r="HG24" s="210"/>
      <c r="HH24" s="210"/>
      <c r="HI24" s="210"/>
      <c r="HJ24" s="210"/>
      <c r="HK24" s="210"/>
      <c r="HL24" s="210"/>
      <c r="HM24" s="210"/>
      <c r="HN24" s="210"/>
      <c r="HO24" s="210"/>
      <c r="HP24" s="210"/>
      <c r="HQ24" s="210"/>
      <c r="HR24" s="210"/>
      <c r="HS24" s="210"/>
      <c r="HT24" s="210"/>
      <c r="HU24" s="210"/>
      <c r="HV24" s="209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209"/>
      <c r="IP24" s="210"/>
      <c r="IQ24" s="210"/>
      <c r="IR24" s="210"/>
      <c r="IS24" s="210"/>
      <c r="IT24" s="210"/>
      <c r="IU24" s="210"/>
      <c r="IV24" s="210"/>
      <c r="IW24" s="210"/>
      <c r="IX24" s="210"/>
      <c r="IY24" s="210"/>
      <c r="IZ24" s="210"/>
      <c r="JA24" s="210"/>
      <c r="JB24" s="210"/>
      <c r="JC24" s="210"/>
      <c r="JD24" s="210"/>
      <c r="JE24" s="210"/>
      <c r="JF24" s="210"/>
      <c r="JG24" s="210"/>
      <c r="JH24" s="209"/>
      <c r="JI24" s="82"/>
      <c r="JJ24" s="82"/>
      <c r="JK24" s="82"/>
      <c r="JL24" s="82"/>
      <c r="JM24" s="82"/>
      <c r="JN24" s="82"/>
      <c r="JO24" s="82"/>
      <c r="JP24" s="82"/>
      <c r="JQ24" s="82"/>
      <c r="JR24" s="82"/>
      <c r="JS24" s="82"/>
      <c r="JT24" s="82"/>
      <c r="JU24" s="82"/>
      <c r="JV24" s="82"/>
      <c r="JW24" s="82"/>
      <c r="JX24" s="82"/>
      <c r="JY24" s="82"/>
      <c r="JZ24" s="82"/>
      <c r="KA24" s="209"/>
      <c r="KB24" s="210"/>
      <c r="KC24" s="210"/>
      <c r="KD24" s="210"/>
      <c r="KE24" s="210"/>
      <c r="KF24" s="210"/>
      <c r="KG24" s="210"/>
      <c r="KH24" s="210"/>
      <c r="KI24" s="210"/>
      <c r="KJ24" s="210"/>
      <c r="KK24" s="210"/>
      <c r="KL24" s="210"/>
      <c r="KM24" s="210"/>
      <c r="KN24" s="210"/>
      <c r="KO24" s="210"/>
      <c r="KP24" s="210"/>
      <c r="KQ24" s="210"/>
      <c r="KR24" s="210"/>
      <c r="KS24" s="210"/>
      <c r="KT24" s="82"/>
      <c r="KU24" s="82"/>
      <c r="KV24" s="82"/>
      <c r="KW24" s="82"/>
      <c r="KX24" s="82"/>
      <c r="KY24" s="82"/>
      <c r="KZ24" s="82"/>
      <c r="LA24" s="82"/>
      <c r="LB24" s="82"/>
      <c r="LC24" s="82"/>
      <c r="LD24" s="82"/>
      <c r="LE24" s="82"/>
      <c r="LF24" s="82"/>
      <c r="LG24" s="82"/>
      <c r="LH24" s="82"/>
      <c r="LI24" s="82"/>
      <c r="LJ24" s="82"/>
      <c r="LK24" s="82"/>
      <c r="LL24" s="82"/>
      <c r="LM24" s="82"/>
      <c r="LN24" s="82"/>
      <c r="LO24" s="82"/>
      <c r="LP24" s="82"/>
      <c r="LQ24" s="82"/>
      <c r="LR24" s="82"/>
      <c r="LS24" s="82"/>
      <c r="LT24" s="82"/>
      <c r="LU24" s="82"/>
      <c r="LV24" s="82"/>
      <c r="LW24" s="82"/>
      <c r="LX24" s="82"/>
      <c r="LY24" s="82"/>
      <c r="LZ24" s="82"/>
      <c r="MA24" s="82"/>
      <c r="MB24" s="82"/>
      <c r="MC24" s="82"/>
      <c r="MD24" s="82">
        <f t="shared" si="0"/>
        <v>0</v>
      </c>
    </row>
    <row r="25" spans="2:344" s="71" customFormat="1" ht="24.75" customHeight="1">
      <c r="B25" s="211">
        <v>243070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209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09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20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09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209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09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209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09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209"/>
      <c r="FR25" s="210"/>
      <c r="FS25" s="210"/>
      <c r="FT25" s="210"/>
      <c r="FU25" s="210"/>
      <c r="FV25" s="210"/>
      <c r="FW25" s="210"/>
      <c r="FX25" s="210"/>
      <c r="FY25" s="210"/>
      <c r="FZ25" s="210"/>
      <c r="GA25" s="210"/>
      <c r="GB25" s="210"/>
      <c r="GC25" s="210"/>
      <c r="GD25" s="210"/>
      <c r="GE25" s="210"/>
      <c r="GF25" s="210"/>
      <c r="GG25" s="210"/>
      <c r="GH25" s="210"/>
      <c r="GI25" s="210"/>
      <c r="GJ25" s="209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209"/>
      <c r="HD25" s="210"/>
      <c r="HE25" s="210"/>
      <c r="HF25" s="210"/>
      <c r="HG25" s="210"/>
      <c r="HH25" s="210"/>
      <c r="HI25" s="210"/>
      <c r="HJ25" s="210"/>
      <c r="HK25" s="210"/>
      <c r="HL25" s="210"/>
      <c r="HM25" s="210"/>
      <c r="HN25" s="210"/>
      <c r="HO25" s="210"/>
      <c r="HP25" s="210"/>
      <c r="HQ25" s="210"/>
      <c r="HR25" s="210"/>
      <c r="HS25" s="210"/>
      <c r="HT25" s="210"/>
      <c r="HU25" s="210"/>
      <c r="HV25" s="209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209"/>
      <c r="IP25" s="210"/>
      <c r="IQ25" s="210"/>
      <c r="IR25" s="210"/>
      <c r="IS25" s="210"/>
      <c r="IT25" s="210"/>
      <c r="IU25" s="210"/>
      <c r="IV25" s="210"/>
      <c r="IW25" s="210"/>
      <c r="IX25" s="210"/>
      <c r="IY25" s="210"/>
      <c r="IZ25" s="210"/>
      <c r="JA25" s="210"/>
      <c r="JB25" s="210"/>
      <c r="JC25" s="210"/>
      <c r="JD25" s="210"/>
      <c r="JE25" s="210"/>
      <c r="JF25" s="210"/>
      <c r="JG25" s="210"/>
      <c r="JH25" s="209"/>
      <c r="JI25" s="82"/>
      <c r="JJ25" s="82"/>
      <c r="JK25" s="82"/>
      <c r="JL25" s="82"/>
      <c r="JM25" s="82"/>
      <c r="JN25" s="82"/>
      <c r="JO25" s="82"/>
      <c r="JP25" s="82"/>
      <c r="JQ25" s="82"/>
      <c r="JR25" s="82"/>
      <c r="JS25" s="82"/>
      <c r="JT25" s="82"/>
      <c r="JU25" s="82"/>
      <c r="JV25" s="82"/>
      <c r="JW25" s="82"/>
      <c r="JX25" s="82"/>
      <c r="JY25" s="82"/>
      <c r="JZ25" s="82"/>
      <c r="KA25" s="209"/>
      <c r="KB25" s="210"/>
      <c r="KC25" s="210"/>
      <c r="KD25" s="210"/>
      <c r="KE25" s="210"/>
      <c r="KF25" s="210"/>
      <c r="KG25" s="210"/>
      <c r="KH25" s="210"/>
      <c r="KI25" s="210"/>
      <c r="KJ25" s="210"/>
      <c r="KK25" s="210"/>
      <c r="KL25" s="210"/>
      <c r="KM25" s="210"/>
      <c r="KN25" s="210"/>
      <c r="KO25" s="210"/>
      <c r="KP25" s="210"/>
      <c r="KQ25" s="210"/>
      <c r="KR25" s="210"/>
      <c r="KS25" s="210"/>
      <c r="KT25" s="82"/>
      <c r="KU25" s="82"/>
      <c r="KV25" s="82"/>
      <c r="KW25" s="82"/>
      <c r="KX25" s="82"/>
      <c r="KY25" s="82"/>
      <c r="KZ25" s="82"/>
      <c r="LA25" s="82"/>
      <c r="LB25" s="82"/>
      <c r="LC25" s="82"/>
      <c r="LD25" s="82"/>
      <c r="LE25" s="82"/>
      <c r="LF25" s="82"/>
      <c r="LG25" s="82"/>
      <c r="LH25" s="82"/>
      <c r="LI25" s="82"/>
      <c r="LJ25" s="82"/>
      <c r="LK25" s="82"/>
      <c r="LL25" s="82"/>
      <c r="LM25" s="82"/>
      <c r="LN25" s="82"/>
      <c r="LO25" s="82"/>
      <c r="LP25" s="82"/>
      <c r="LQ25" s="82"/>
      <c r="LR25" s="82"/>
      <c r="LS25" s="82"/>
      <c r="LT25" s="82"/>
      <c r="LU25" s="82"/>
      <c r="LV25" s="82"/>
      <c r="LW25" s="82"/>
      <c r="LX25" s="82"/>
      <c r="LY25" s="82"/>
      <c r="LZ25" s="82"/>
      <c r="MA25" s="82"/>
      <c r="MB25" s="82"/>
      <c r="MC25" s="82"/>
      <c r="MD25" s="82">
        <f t="shared" si="0"/>
        <v>0</v>
      </c>
    </row>
    <row r="26" spans="2:344" s="71" customFormat="1" ht="24.75" customHeight="1">
      <c r="B26" s="21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209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09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209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09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209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09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209"/>
      <c r="EF26" s="210"/>
      <c r="EG26" s="210"/>
      <c r="EH26" s="210"/>
      <c r="EI26" s="210"/>
      <c r="EJ26" s="210"/>
      <c r="EK26" s="210"/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0"/>
      <c r="EW26" s="210"/>
      <c r="EX26" s="209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209"/>
      <c r="FR26" s="210"/>
      <c r="FS26" s="210"/>
      <c r="FT26" s="210"/>
      <c r="FU26" s="210"/>
      <c r="FV26" s="210"/>
      <c r="FW26" s="210"/>
      <c r="FX26" s="210"/>
      <c r="FY26" s="210"/>
      <c r="FZ26" s="210"/>
      <c r="GA26" s="210"/>
      <c r="GB26" s="210"/>
      <c r="GC26" s="210"/>
      <c r="GD26" s="210"/>
      <c r="GE26" s="210"/>
      <c r="GF26" s="210"/>
      <c r="GG26" s="210"/>
      <c r="GH26" s="210"/>
      <c r="GI26" s="210"/>
      <c r="GJ26" s="209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209"/>
      <c r="HD26" s="210"/>
      <c r="HE26" s="210"/>
      <c r="HF26" s="210"/>
      <c r="HG26" s="210"/>
      <c r="HH26" s="210"/>
      <c r="HI26" s="210"/>
      <c r="HJ26" s="210"/>
      <c r="HK26" s="210"/>
      <c r="HL26" s="210"/>
      <c r="HM26" s="210"/>
      <c r="HN26" s="210"/>
      <c r="HO26" s="210"/>
      <c r="HP26" s="210"/>
      <c r="HQ26" s="210"/>
      <c r="HR26" s="210"/>
      <c r="HS26" s="210"/>
      <c r="HT26" s="210"/>
      <c r="HU26" s="210"/>
      <c r="HV26" s="209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209"/>
      <c r="IP26" s="210"/>
      <c r="IQ26" s="210"/>
      <c r="IR26" s="210"/>
      <c r="IS26" s="210"/>
      <c r="IT26" s="210"/>
      <c r="IU26" s="210"/>
      <c r="IV26" s="210"/>
      <c r="IW26" s="210"/>
      <c r="IX26" s="210"/>
      <c r="IY26" s="210"/>
      <c r="IZ26" s="210"/>
      <c r="JA26" s="210"/>
      <c r="JB26" s="210"/>
      <c r="JC26" s="210"/>
      <c r="JD26" s="210"/>
      <c r="JE26" s="210"/>
      <c r="JF26" s="210"/>
      <c r="JG26" s="210"/>
      <c r="JH26" s="209"/>
      <c r="JI26" s="82"/>
      <c r="JJ26" s="82"/>
      <c r="JK26" s="82"/>
      <c r="JL26" s="82"/>
      <c r="JM26" s="82"/>
      <c r="JN26" s="82"/>
      <c r="JO26" s="82"/>
      <c r="JP26" s="82"/>
      <c r="JQ26" s="82"/>
      <c r="JR26" s="82"/>
      <c r="JS26" s="82"/>
      <c r="JT26" s="82"/>
      <c r="JU26" s="82"/>
      <c r="JV26" s="82"/>
      <c r="JW26" s="82"/>
      <c r="JX26" s="82"/>
      <c r="JY26" s="82"/>
      <c r="JZ26" s="82"/>
      <c r="KA26" s="209"/>
      <c r="KB26" s="210"/>
      <c r="KC26" s="210"/>
      <c r="KD26" s="210"/>
      <c r="KE26" s="210"/>
      <c r="KF26" s="210"/>
      <c r="KG26" s="210"/>
      <c r="KH26" s="210"/>
      <c r="KI26" s="210"/>
      <c r="KJ26" s="210"/>
      <c r="KK26" s="210"/>
      <c r="KL26" s="210"/>
      <c r="KM26" s="210"/>
      <c r="KN26" s="210"/>
      <c r="KO26" s="210"/>
      <c r="KP26" s="210"/>
      <c r="KQ26" s="210"/>
      <c r="KR26" s="210"/>
      <c r="KS26" s="210"/>
      <c r="KT26" s="82"/>
      <c r="KU26" s="82"/>
      <c r="KV26" s="82"/>
      <c r="KW26" s="82"/>
      <c r="KX26" s="82"/>
      <c r="KY26" s="82"/>
      <c r="KZ26" s="82"/>
      <c r="LA26" s="82"/>
      <c r="LB26" s="82"/>
      <c r="LC26" s="82"/>
      <c r="LD26" s="82"/>
      <c r="LE26" s="82"/>
      <c r="LF26" s="82"/>
      <c r="LG26" s="82"/>
      <c r="LH26" s="82"/>
      <c r="LI26" s="82"/>
      <c r="LJ26" s="82"/>
      <c r="LK26" s="82"/>
      <c r="LL26" s="82"/>
      <c r="LM26" s="82"/>
      <c r="LN26" s="82"/>
      <c r="LO26" s="82"/>
      <c r="LP26" s="82"/>
      <c r="LQ26" s="82"/>
      <c r="LR26" s="82"/>
      <c r="LS26" s="82"/>
      <c r="LT26" s="82"/>
      <c r="LU26" s="82"/>
      <c r="LV26" s="82"/>
      <c r="LW26" s="82"/>
      <c r="LX26" s="82"/>
      <c r="LY26" s="82"/>
      <c r="LZ26" s="82"/>
      <c r="MA26" s="82"/>
      <c r="MB26" s="82"/>
      <c r="MC26" s="82"/>
      <c r="MD26" s="82">
        <f t="shared" si="0"/>
        <v>0</v>
      </c>
    </row>
    <row r="27" spans="2:344" s="71" customFormat="1" ht="24.75" customHeight="1">
      <c r="B27" s="1176">
        <v>243101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209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09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209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09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209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09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209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0"/>
      <c r="ET27" s="210"/>
      <c r="EU27" s="210"/>
      <c r="EV27" s="210"/>
      <c r="EW27" s="210"/>
      <c r="EX27" s="209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209"/>
      <c r="FR27" s="210"/>
      <c r="FS27" s="210"/>
      <c r="FT27" s="210"/>
      <c r="FU27" s="210"/>
      <c r="FV27" s="210"/>
      <c r="FW27" s="210"/>
      <c r="FX27" s="210"/>
      <c r="FY27" s="210"/>
      <c r="FZ27" s="210"/>
      <c r="GA27" s="210"/>
      <c r="GB27" s="210"/>
      <c r="GC27" s="210"/>
      <c r="GD27" s="210"/>
      <c r="GE27" s="210"/>
      <c r="GF27" s="210"/>
      <c r="GG27" s="210"/>
      <c r="GH27" s="210"/>
      <c r="GI27" s="210"/>
      <c r="GJ27" s="209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209"/>
      <c r="HD27" s="210"/>
      <c r="HE27" s="210"/>
      <c r="HF27" s="210"/>
      <c r="HG27" s="210"/>
      <c r="HH27" s="210"/>
      <c r="HI27" s="210"/>
      <c r="HJ27" s="210"/>
      <c r="HK27" s="210"/>
      <c r="HL27" s="210"/>
      <c r="HM27" s="210"/>
      <c r="HN27" s="210"/>
      <c r="HO27" s="210"/>
      <c r="HP27" s="210"/>
      <c r="HQ27" s="210"/>
      <c r="HR27" s="210"/>
      <c r="HS27" s="210"/>
      <c r="HT27" s="210"/>
      <c r="HU27" s="210"/>
      <c r="HV27" s="209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209"/>
      <c r="IP27" s="210"/>
      <c r="IQ27" s="210"/>
      <c r="IR27" s="210"/>
      <c r="IS27" s="210"/>
      <c r="IT27" s="210"/>
      <c r="IU27" s="210"/>
      <c r="IV27" s="210"/>
      <c r="IW27" s="210"/>
      <c r="IX27" s="210"/>
      <c r="IY27" s="210"/>
      <c r="IZ27" s="210"/>
      <c r="JA27" s="210"/>
      <c r="JB27" s="210"/>
      <c r="JC27" s="210"/>
      <c r="JD27" s="210"/>
      <c r="JE27" s="210"/>
      <c r="JF27" s="210"/>
      <c r="JG27" s="210"/>
      <c r="JH27" s="209"/>
      <c r="JI27" s="82"/>
      <c r="JJ27" s="82"/>
      <c r="JK27" s="82"/>
      <c r="JL27" s="82"/>
      <c r="JM27" s="82"/>
      <c r="JN27" s="82"/>
      <c r="JO27" s="82"/>
      <c r="JP27" s="82"/>
      <c r="JQ27" s="82"/>
      <c r="JR27" s="82"/>
      <c r="JS27" s="82"/>
      <c r="JT27" s="82"/>
      <c r="JU27" s="82"/>
      <c r="JV27" s="82"/>
      <c r="JW27" s="82"/>
      <c r="JX27" s="82"/>
      <c r="JY27" s="82"/>
      <c r="JZ27" s="82"/>
      <c r="KA27" s="209"/>
      <c r="KB27" s="210"/>
      <c r="KC27" s="210"/>
      <c r="KD27" s="210"/>
      <c r="KE27" s="210"/>
      <c r="KF27" s="210"/>
      <c r="KG27" s="210"/>
      <c r="KH27" s="210"/>
      <c r="KI27" s="210"/>
      <c r="KJ27" s="210"/>
      <c r="KK27" s="210"/>
      <c r="KL27" s="210"/>
      <c r="KM27" s="210"/>
      <c r="KN27" s="210"/>
      <c r="KO27" s="210"/>
      <c r="KP27" s="210"/>
      <c r="KQ27" s="210"/>
      <c r="KR27" s="210"/>
      <c r="KS27" s="210"/>
      <c r="KT27" s="82"/>
      <c r="KU27" s="82"/>
      <c r="KV27" s="82"/>
      <c r="KW27" s="82"/>
      <c r="KX27" s="82"/>
      <c r="KY27" s="82"/>
      <c r="KZ27" s="82"/>
      <c r="LA27" s="82"/>
      <c r="LB27" s="82"/>
      <c r="LC27" s="82"/>
      <c r="LD27" s="82"/>
      <c r="LE27" s="82"/>
      <c r="LF27" s="82"/>
      <c r="LG27" s="82"/>
      <c r="LH27" s="82"/>
      <c r="LI27" s="82"/>
      <c r="LJ27" s="82"/>
      <c r="LK27" s="82"/>
      <c r="LL27" s="82"/>
      <c r="LM27" s="82"/>
      <c r="LN27" s="82"/>
      <c r="LO27" s="82"/>
      <c r="LP27" s="82"/>
      <c r="LQ27" s="82"/>
      <c r="LR27" s="82"/>
      <c r="LS27" s="82"/>
      <c r="LT27" s="82"/>
      <c r="LU27" s="82"/>
      <c r="LV27" s="82"/>
      <c r="LW27" s="82"/>
      <c r="LX27" s="82"/>
      <c r="LY27" s="82"/>
      <c r="LZ27" s="82"/>
      <c r="MA27" s="82"/>
      <c r="MB27" s="82"/>
      <c r="MC27" s="82"/>
      <c r="MD27" s="82">
        <f t="shared" si="0"/>
        <v>0</v>
      </c>
    </row>
    <row r="28" spans="2:344" s="71" customFormat="1" ht="24.75" customHeight="1">
      <c r="B28" s="11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209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09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209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09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209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09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209"/>
      <c r="EF28" s="210"/>
      <c r="EG28" s="210"/>
      <c r="EH28" s="210"/>
      <c r="EI28" s="210"/>
      <c r="EJ28" s="210"/>
      <c r="EK28" s="210"/>
      <c r="EL28" s="210"/>
      <c r="EM28" s="210"/>
      <c r="EN28" s="210"/>
      <c r="EO28" s="210"/>
      <c r="EP28" s="210"/>
      <c r="EQ28" s="210"/>
      <c r="ER28" s="210"/>
      <c r="ES28" s="210"/>
      <c r="ET28" s="210"/>
      <c r="EU28" s="210"/>
      <c r="EV28" s="210"/>
      <c r="EW28" s="210"/>
      <c r="EX28" s="209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209"/>
      <c r="FR28" s="210"/>
      <c r="FS28" s="210"/>
      <c r="FT28" s="210"/>
      <c r="FU28" s="210"/>
      <c r="FV28" s="210"/>
      <c r="FW28" s="210"/>
      <c r="FX28" s="210"/>
      <c r="FY28" s="210"/>
      <c r="FZ28" s="210"/>
      <c r="GA28" s="210"/>
      <c r="GB28" s="210"/>
      <c r="GC28" s="210"/>
      <c r="GD28" s="210"/>
      <c r="GE28" s="210"/>
      <c r="GF28" s="210"/>
      <c r="GG28" s="210"/>
      <c r="GH28" s="210"/>
      <c r="GI28" s="210"/>
      <c r="GJ28" s="209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209"/>
      <c r="HD28" s="210"/>
      <c r="HE28" s="210"/>
      <c r="HF28" s="210"/>
      <c r="HG28" s="210"/>
      <c r="HH28" s="210"/>
      <c r="HI28" s="210"/>
      <c r="HJ28" s="210"/>
      <c r="HK28" s="210"/>
      <c r="HL28" s="210"/>
      <c r="HM28" s="210"/>
      <c r="HN28" s="210"/>
      <c r="HO28" s="210"/>
      <c r="HP28" s="210"/>
      <c r="HQ28" s="210"/>
      <c r="HR28" s="210"/>
      <c r="HS28" s="210"/>
      <c r="HT28" s="210"/>
      <c r="HU28" s="210"/>
      <c r="HV28" s="209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209"/>
      <c r="IP28" s="210"/>
      <c r="IQ28" s="210"/>
      <c r="IR28" s="210"/>
      <c r="IS28" s="210"/>
      <c r="IT28" s="210"/>
      <c r="IU28" s="210"/>
      <c r="IV28" s="210"/>
      <c r="IW28" s="210"/>
      <c r="IX28" s="210"/>
      <c r="IY28" s="210"/>
      <c r="IZ28" s="210"/>
      <c r="JA28" s="210"/>
      <c r="JB28" s="210"/>
      <c r="JC28" s="210"/>
      <c r="JD28" s="210"/>
      <c r="JE28" s="210"/>
      <c r="JF28" s="210"/>
      <c r="JG28" s="210"/>
      <c r="JH28" s="209"/>
      <c r="JI28" s="82"/>
      <c r="JJ28" s="82"/>
      <c r="JK28" s="82"/>
      <c r="JL28" s="82"/>
      <c r="JM28" s="82"/>
      <c r="JN28" s="82"/>
      <c r="JO28" s="82"/>
      <c r="JP28" s="82"/>
      <c r="JQ28" s="82"/>
      <c r="JR28" s="82"/>
      <c r="JS28" s="82"/>
      <c r="JT28" s="82"/>
      <c r="JU28" s="82"/>
      <c r="JV28" s="82"/>
      <c r="JW28" s="82"/>
      <c r="JX28" s="82"/>
      <c r="JY28" s="82"/>
      <c r="JZ28" s="82"/>
      <c r="KA28" s="209"/>
      <c r="KB28" s="210"/>
      <c r="KC28" s="210"/>
      <c r="KD28" s="210"/>
      <c r="KE28" s="210"/>
      <c r="KF28" s="210"/>
      <c r="KG28" s="210"/>
      <c r="KH28" s="210"/>
      <c r="KI28" s="210"/>
      <c r="KJ28" s="210"/>
      <c r="KK28" s="210"/>
      <c r="KL28" s="210"/>
      <c r="KM28" s="210"/>
      <c r="KN28" s="210"/>
      <c r="KO28" s="210"/>
      <c r="KP28" s="210"/>
      <c r="KQ28" s="210"/>
      <c r="KR28" s="210"/>
      <c r="KS28" s="210"/>
      <c r="KT28" s="82"/>
      <c r="KU28" s="82"/>
      <c r="KV28" s="82"/>
      <c r="KW28" s="82"/>
      <c r="KX28" s="82"/>
      <c r="KY28" s="82"/>
      <c r="KZ28" s="82"/>
      <c r="LA28" s="82"/>
      <c r="LB28" s="82"/>
      <c r="LC28" s="82"/>
      <c r="LD28" s="82"/>
      <c r="LE28" s="82"/>
      <c r="LF28" s="82"/>
      <c r="LG28" s="82"/>
      <c r="LH28" s="82"/>
      <c r="LI28" s="82"/>
      <c r="LJ28" s="82"/>
      <c r="LK28" s="82"/>
      <c r="LL28" s="82"/>
      <c r="LM28" s="82"/>
      <c r="LN28" s="82"/>
      <c r="LO28" s="82"/>
      <c r="LP28" s="82"/>
      <c r="LQ28" s="82"/>
      <c r="LR28" s="82"/>
      <c r="LS28" s="82"/>
      <c r="LT28" s="82"/>
      <c r="LU28" s="82"/>
      <c r="LV28" s="82"/>
      <c r="LW28" s="82"/>
      <c r="LX28" s="82"/>
      <c r="LY28" s="82"/>
      <c r="LZ28" s="82"/>
      <c r="MA28" s="82"/>
      <c r="MB28" s="82"/>
      <c r="MC28" s="82"/>
      <c r="MD28" s="82">
        <f t="shared" si="0"/>
        <v>0</v>
      </c>
    </row>
    <row r="29" spans="2:344" s="217" customFormat="1" ht="24.75" customHeight="1">
      <c r="B29" s="1181">
        <v>243132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6"/>
      <c r="EH29" s="215"/>
      <c r="EI29" s="215"/>
      <c r="EJ29" s="215"/>
      <c r="EK29" s="215"/>
      <c r="EL29" s="215"/>
      <c r="EM29" s="216"/>
      <c r="EN29" s="215"/>
      <c r="EO29" s="216"/>
      <c r="EP29" s="215"/>
      <c r="EQ29" s="215"/>
      <c r="ER29" s="215"/>
      <c r="ES29" s="215"/>
      <c r="ET29" s="215"/>
      <c r="EU29" s="215"/>
      <c r="EV29" s="215"/>
      <c r="EW29" s="215"/>
      <c r="EX29" s="215"/>
      <c r="EY29" s="215"/>
      <c r="EZ29" s="215"/>
      <c r="FA29" s="215"/>
      <c r="FB29" s="215"/>
      <c r="FC29" s="215"/>
      <c r="FD29" s="215"/>
      <c r="FE29" s="215"/>
      <c r="FF29" s="215"/>
      <c r="FG29" s="215"/>
      <c r="FH29" s="215"/>
      <c r="FI29" s="215"/>
      <c r="FJ29" s="215"/>
      <c r="FK29" s="215"/>
      <c r="FL29" s="215"/>
      <c r="FM29" s="215"/>
      <c r="FN29" s="215"/>
      <c r="FO29" s="215"/>
      <c r="FP29" s="215"/>
      <c r="FQ29" s="215"/>
      <c r="FR29" s="215"/>
      <c r="FS29" s="215"/>
      <c r="FT29" s="215"/>
      <c r="FU29" s="215"/>
      <c r="FV29" s="215"/>
      <c r="FW29" s="215"/>
      <c r="FX29" s="215"/>
      <c r="FY29" s="215"/>
      <c r="FZ29" s="215"/>
      <c r="GA29" s="215"/>
      <c r="GB29" s="215"/>
      <c r="GC29" s="215"/>
      <c r="GD29" s="215"/>
      <c r="GE29" s="215"/>
      <c r="GF29" s="215"/>
      <c r="GG29" s="215"/>
      <c r="GH29" s="215"/>
      <c r="GI29" s="215"/>
      <c r="GJ29" s="215"/>
      <c r="GK29" s="215"/>
      <c r="GL29" s="215"/>
      <c r="GM29" s="215"/>
      <c r="GN29" s="215"/>
      <c r="GO29" s="215"/>
      <c r="GP29" s="215"/>
      <c r="GQ29" s="215"/>
      <c r="GR29" s="215"/>
      <c r="GS29" s="215"/>
      <c r="GT29" s="215"/>
      <c r="GU29" s="215"/>
      <c r="GV29" s="215"/>
      <c r="GW29" s="215"/>
      <c r="GX29" s="215"/>
      <c r="GY29" s="215"/>
      <c r="GZ29" s="215"/>
      <c r="HA29" s="215"/>
      <c r="HB29" s="215"/>
      <c r="HC29" s="215"/>
      <c r="HD29" s="215"/>
      <c r="HE29" s="215"/>
      <c r="HF29" s="215"/>
      <c r="HG29" s="215"/>
      <c r="HH29" s="215"/>
      <c r="HI29" s="215"/>
      <c r="HJ29" s="215"/>
      <c r="HK29" s="215"/>
      <c r="HL29" s="215"/>
      <c r="HM29" s="215"/>
      <c r="HN29" s="215"/>
      <c r="HO29" s="215"/>
      <c r="HP29" s="215"/>
      <c r="HQ29" s="215"/>
      <c r="HR29" s="215"/>
      <c r="HS29" s="215"/>
      <c r="HT29" s="215"/>
      <c r="HU29" s="215"/>
      <c r="HV29" s="215"/>
      <c r="HW29" s="215"/>
      <c r="HX29" s="215"/>
      <c r="HY29" s="215"/>
      <c r="HZ29" s="215"/>
      <c r="IA29" s="215"/>
      <c r="IB29" s="215"/>
      <c r="IC29" s="215"/>
      <c r="ID29" s="215"/>
      <c r="IE29" s="215"/>
      <c r="IF29" s="215"/>
      <c r="IG29" s="215"/>
      <c r="IH29" s="215"/>
      <c r="II29" s="215"/>
      <c r="IJ29" s="215"/>
      <c r="IK29" s="215"/>
      <c r="IL29" s="215"/>
      <c r="IM29" s="215"/>
      <c r="IN29" s="215"/>
      <c r="IO29" s="215"/>
      <c r="IP29" s="215"/>
      <c r="IQ29" s="215"/>
      <c r="IR29" s="215"/>
      <c r="IS29" s="215"/>
      <c r="IT29" s="215"/>
      <c r="IU29" s="215"/>
      <c r="IV29" s="215"/>
      <c r="IW29" s="215"/>
      <c r="IX29" s="215"/>
      <c r="IY29" s="215"/>
      <c r="IZ29" s="215"/>
      <c r="JA29" s="215"/>
      <c r="JB29" s="215"/>
      <c r="JC29" s="215"/>
      <c r="JD29" s="215"/>
      <c r="JE29" s="215"/>
      <c r="JF29" s="215"/>
      <c r="JG29" s="215"/>
      <c r="JH29" s="215"/>
      <c r="JI29" s="215"/>
      <c r="JJ29" s="215"/>
      <c r="JK29" s="215"/>
      <c r="JL29" s="215"/>
      <c r="JM29" s="215"/>
      <c r="JN29" s="215"/>
      <c r="JO29" s="215"/>
      <c r="JP29" s="215"/>
      <c r="JQ29" s="215"/>
      <c r="JR29" s="215"/>
      <c r="JS29" s="215"/>
      <c r="JT29" s="215"/>
      <c r="JU29" s="215"/>
      <c r="JV29" s="215"/>
      <c r="JW29" s="215"/>
      <c r="JX29" s="215"/>
      <c r="JY29" s="215"/>
      <c r="JZ29" s="215"/>
      <c r="KA29" s="209"/>
      <c r="KB29" s="215"/>
      <c r="KC29" s="215"/>
      <c r="KD29" s="215"/>
      <c r="KE29" s="215"/>
      <c r="KF29" s="215"/>
      <c r="KG29" s="215"/>
      <c r="KH29" s="215"/>
      <c r="KI29" s="215"/>
      <c r="KJ29" s="215"/>
      <c r="KK29" s="215"/>
      <c r="KL29" s="215"/>
      <c r="KM29" s="215"/>
      <c r="KN29" s="215"/>
      <c r="KO29" s="215"/>
      <c r="KP29" s="215"/>
      <c r="KQ29" s="215"/>
      <c r="KR29" s="215"/>
      <c r="KS29" s="215"/>
      <c r="KT29" s="215"/>
      <c r="KU29" s="215"/>
      <c r="KV29" s="215"/>
      <c r="KW29" s="215"/>
      <c r="KX29" s="215"/>
      <c r="KY29" s="215"/>
      <c r="KZ29" s="215"/>
      <c r="LA29" s="215"/>
      <c r="LB29" s="215"/>
      <c r="LC29" s="215"/>
      <c r="LD29" s="215"/>
      <c r="LE29" s="215"/>
      <c r="LF29" s="215"/>
      <c r="LG29" s="215"/>
      <c r="LH29" s="215"/>
      <c r="LI29" s="215"/>
      <c r="LJ29" s="215"/>
      <c r="LK29" s="215"/>
      <c r="LL29" s="215"/>
      <c r="LM29" s="215"/>
      <c r="LN29" s="215"/>
      <c r="LO29" s="215"/>
      <c r="LP29" s="215"/>
      <c r="LQ29" s="215"/>
      <c r="LR29" s="215"/>
      <c r="LS29" s="215"/>
      <c r="LT29" s="215"/>
      <c r="LU29" s="215"/>
      <c r="LV29" s="215"/>
      <c r="LW29" s="215"/>
      <c r="LX29" s="215"/>
      <c r="LY29" s="215"/>
      <c r="LZ29" s="215"/>
      <c r="MA29" s="215"/>
      <c r="MB29" s="215"/>
      <c r="MC29" s="215"/>
      <c r="MD29" s="82">
        <f t="shared" si="0"/>
        <v>0</v>
      </c>
    </row>
    <row r="30" spans="2:344" s="217" customFormat="1" ht="24.75" customHeight="1">
      <c r="B30" s="1182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6"/>
      <c r="EH30" s="215"/>
      <c r="EI30" s="215"/>
      <c r="EJ30" s="215"/>
      <c r="EK30" s="215"/>
      <c r="EL30" s="215"/>
      <c r="EM30" s="215"/>
      <c r="EN30" s="215"/>
      <c r="EO30" s="216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  <c r="FB30" s="215"/>
      <c r="FC30" s="215"/>
      <c r="FD30" s="215"/>
      <c r="FE30" s="215"/>
      <c r="FF30" s="215"/>
      <c r="FG30" s="215"/>
      <c r="FH30" s="215"/>
      <c r="FI30" s="215"/>
      <c r="FJ30" s="215"/>
      <c r="FK30" s="215"/>
      <c r="FL30" s="215"/>
      <c r="FM30" s="215"/>
      <c r="FN30" s="215"/>
      <c r="FO30" s="215"/>
      <c r="FP30" s="215"/>
      <c r="FQ30" s="215"/>
      <c r="FR30" s="215"/>
      <c r="FS30" s="215"/>
      <c r="FT30" s="215"/>
      <c r="FU30" s="215"/>
      <c r="FV30" s="215"/>
      <c r="FW30" s="215"/>
      <c r="FX30" s="215"/>
      <c r="FY30" s="215"/>
      <c r="FZ30" s="215"/>
      <c r="GA30" s="215"/>
      <c r="GB30" s="215"/>
      <c r="GC30" s="215"/>
      <c r="GD30" s="215"/>
      <c r="GE30" s="215"/>
      <c r="GF30" s="215"/>
      <c r="GG30" s="215"/>
      <c r="GH30" s="215"/>
      <c r="GI30" s="215"/>
      <c r="GJ30" s="215"/>
      <c r="GK30" s="215"/>
      <c r="GL30" s="215"/>
      <c r="GM30" s="215"/>
      <c r="GN30" s="215"/>
      <c r="GO30" s="215"/>
      <c r="GP30" s="215"/>
      <c r="GQ30" s="215"/>
      <c r="GR30" s="215"/>
      <c r="GS30" s="215"/>
      <c r="GT30" s="215"/>
      <c r="GU30" s="215"/>
      <c r="GV30" s="215"/>
      <c r="GW30" s="215"/>
      <c r="GX30" s="215"/>
      <c r="GY30" s="215"/>
      <c r="GZ30" s="215"/>
      <c r="HA30" s="215"/>
      <c r="HB30" s="215"/>
      <c r="HC30" s="215"/>
      <c r="HD30" s="215"/>
      <c r="HE30" s="215"/>
      <c r="HF30" s="215"/>
      <c r="HG30" s="215"/>
      <c r="HH30" s="215"/>
      <c r="HI30" s="215"/>
      <c r="HJ30" s="215"/>
      <c r="HK30" s="215"/>
      <c r="HL30" s="215"/>
      <c r="HM30" s="215"/>
      <c r="HN30" s="215"/>
      <c r="HO30" s="215"/>
      <c r="HP30" s="215"/>
      <c r="HQ30" s="215"/>
      <c r="HR30" s="215"/>
      <c r="HS30" s="215"/>
      <c r="HT30" s="215"/>
      <c r="HU30" s="215"/>
      <c r="HV30" s="215"/>
      <c r="HW30" s="215"/>
      <c r="HX30" s="215"/>
      <c r="HY30" s="215"/>
      <c r="HZ30" s="215"/>
      <c r="IA30" s="215"/>
      <c r="IB30" s="215"/>
      <c r="IC30" s="215"/>
      <c r="ID30" s="215"/>
      <c r="IE30" s="215"/>
      <c r="IF30" s="215"/>
      <c r="IG30" s="215"/>
      <c r="IH30" s="215"/>
      <c r="II30" s="215"/>
      <c r="IJ30" s="215"/>
      <c r="IK30" s="215"/>
      <c r="IL30" s="215"/>
      <c r="IM30" s="215"/>
      <c r="IN30" s="215"/>
      <c r="IO30" s="215"/>
      <c r="IP30" s="215"/>
      <c r="IQ30" s="215"/>
      <c r="IR30" s="215"/>
      <c r="IS30" s="215"/>
      <c r="IT30" s="215"/>
      <c r="IU30" s="215"/>
      <c r="IV30" s="215"/>
      <c r="IW30" s="215"/>
      <c r="IX30" s="215"/>
      <c r="IY30" s="215"/>
      <c r="IZ30" s="215"/>
      <c r="JA30" s="215"/>
      <c r="JB30" s="215"/>
      <c r="JC30" s="215"/>
      <c r="JD30" s="215"/>
      <c r="JE30" s="215"/>
      <c r="JF30" s="215"/>
      <c r="JG30" s="215"/>
      <c r="JH30" s="215"/>
      <c r="JI30" s="215"/>
      <c r="JJ30" s="215"/>
      <c r="JK30" s="215"/>
      <c r="JL30" s="215"/>
      <c r="JM30" s="215"/>
      <c r="JN30" s="215"/>
      <c r="JO30" s="215"/>
      <c r="JP30" s="215"/>
      <c r="JQ30" s="215"/>
      <c r="JR30" s="215"/>
      <c r="JS30" s="215"/>
      <c r="JT30" s="215"/>
      <c r="JU30" s="215"/>
      <c r="JV30" s="215"/>
      <c r="JW30" s="215"/>
      <c r="JX30" s="215"/>
      <c r="JY30" s="215"/>
      <c r="JZ30" s="215"/>
      <c r="KA30" s="209"/>
      <c r="KB30" s="215"/>
      <c r="KC30" s="215"/>
      <c r="KD30" s="215"/>
      <c r="KE30" s="215"/>
      <c r="KF30" s="215"/>
      <c r="KG30" s="215"/>
      <c r="KH30" s="215"/>
      <c r="KI30" s="215"/>
      <c r="KJ30" s="215"/>
      <c r="KK30" s="215"/>
      <c r="KL30" s="215"/>
      <c r="KM30" s="215"/>
      <c r="KN30" s="215"/>
      <c r="KO30" s="215"/>
      <c r="KP30" s="215"/>
      <c r="KQ30" s="215"/>
      <c r="KR30" s="215"/>
      <c r="KS30" s="215"/>
      <c r="KT30" s="215"/>
      <c r="KU30" s="215"/>
      <c r="KV30" s="215"/>
      <c r="KW30" s="215"/>
      <c r="KX30" s="215"/>
      <c r="KY30" s="215"/>
      <c r="KZ30" s="215"/>
      <c r="LA30" s="215"/>
      <c r="LB30" s="215"/>
      <c r="LC30" s="215"/>
      <c r="LD30" s="215"/>
      <c r="LE30" s="215"/>
      <c r="LF30" s="215"/>
      <c r="LG30" s="215"/>
      <c r="LH30" s="215"/>
      <c r="LI30" s="215"/>
      <c r="LJ30" s="215"/>
      <c r="LK30" s="215"/>
      <c r="LL30" s="215"/>
      <c r="LM30" s="215"/>
      <c r="LN30" s="215"/>
      <c r="LO30" s="215"/>
      <c r="LP30" s="215"/>
      <c r="LQ30" s="215"/>
      <c r="LR30" s="215"/>
      <c r="LS30" s="215"/>
      <c r="LT30" s="215"/>
      <c r="LU30" s="215"/>
      <c r="LV30" s="215"/>
      <c r="LW30" s="215"/>
      <c r="LX30" s="215"/>
      <c r="LY30" s="215"/>
      <c r="LZ30" s="215"/>
      <c r="MA30" s="215"/>
      <c r="MB30" s="215"/>
      <c r="MC30" s="215"/>
      <c r="MD30" s="82">
        <f t="shared" si="0"/>
        <v>0</v>
      </c>
    </row>
    <row r="31" spans="2:344" s="71" customFormat="1" ht="24.75" customHeight="1">
      <c r="B31" s="211" t="s">
        <v>62</v>
      </c>
      <c r="C31" s="218">
        <f>SUM(C8:C30)</f>
        <v>517.88</v>
      </c>
      <c r="D31" s="218"/>
      <c r="E31" s="218">
        <f>SUM(E8:E30)</f>
        <v>42053.79</v>
      </c>
      <c r="F31" s="218"/>
      <c r="G31" s="218">
        <f>SUM(G8:G30)</f>
        <v>0</v>
      </c>
      <c r="H31" s="218"/>
      <c r="I31" s="218">
        <f>SUM(I8:I30)</f>
        <v>5450.58</v>
      </c>
      <c r="J31" s="218"/>
      <c r="K31" s="218">
        <f>SUM(K8:K30)</f>
        <v>1923.72</v>
      </c>
      <c r="L31" s="218"/>
      <c r="M31" s="218">
        <f>SUM(M8:M30)</f>
        <v>0</v>
      </c>
      <c r="N31" s="218"/>
      <c r="O31" s="218">
        <f>SUM(O8:O30)</f>
        <v>0</v>
      </c>
      <c r="P31" s="218"/>
      <c r="Q31" s="218">
        <f>SUM(Q8:Q30)</f>
        <v>0</v>
      </c>
      <c r="R31" s="218"/>
      <c r="S31" s="218">
        <f>SUM(S8:S30)</f>
        <v>0</v>
      </c>
      <c r="T31" s="218"/>
      <c r="U31" s="219"/>
      <c r="V31" s="220">
        <f>SUM(V8:V30)</f>
        <v>707.27</v>
      </c>
      <c r="W31" s="220"/>
      <c r="X31" s="220">
        <f>SUM(X8:X30)</f>
        <v>12229.980000000001</v>
      </c>
      <c r="Y31" s="220"/>
      <c r="Z31" s="220">
        <f>SUM(Z8:Z30)</f>
        <v>0</v>
      </c>
      <c r="AA31" s="220"/>
      <c r="AB31" s="220">
        <f>SUM(AB8:AB30)</f>
        <v>1267.95</v>
      </c>
      <c r="AC31" s="220"/>
      <c r="AD31" s="220">
        <f>SUM(AD8:AD30)</f>
        <v>2198.8500000000004</v>
      </c>
      <c r="AE31" s="220"/>
      <c r="AF31" s="220">
        <f>SUM(AF8:AF30)</f>
        <v>25000</v>
      </c>
      <c r="AG31" s="220"/>
      <c r="AH31" s="220">
        <f>SUM(AH13:AH30)</f>
        <v>8590</v>
      </c>
      <c r="AI31" s="220"/>
      <c r="AJ31" s="220"/>
      <c r="AK31" s="220"/>
      <c r="AL31" s="220">
        <f>SUM(AL8:AL30)</f>
        <v>0</v>
      </c>
      <c r="AM31" s="220"/>
      <c r="AN31" s="219"/>
      <c r="AO31" s="82">
        <f t="shared" ref="AO31:BE31" si="1">SUM(AO7:AO30)</f>
        <v>390</v>
      </c>
      <c r="AP31" s="82">
        <f t="shared" si="1"/>
        <v>0</v>
      </c>
      <c r="AQ31" s="82">
        <f t="shared" si="1"/>
        <v>9839.4200000000019</v>
      </c>
      <c r="AR31" s="82">
        <f t="shared" si="1"/>
        <v>49.66</v>
      </c>
      <c r="AS31" s="82">
        <f t="shared" si="1"/>
        <v>0</v>
      </c>
      <c r="AT31" s="82">
        <f t="shared" si="1"/>
        <v>0</v>
      </c>
      <c r="AU31" s="82">
        <f t="shared" si="1"/>
        <v>1401.74</v>
      </c>
      <c r="AV31" s="82">
        <f t="shared" si="1"/>
        <v>0</v>
      </c>
      <c r="AW31" s="82">
        <f t="shared" si="1"/>
        <v>4235.0600000000004</v>
      </c>
      <c r="AX31" s="82">
        <f t="shared" si="1"/>
        <v>0</v>
      </c>
      <c r="AY31" s="82">
        <f t="shared" si="1"/>
        <v>0</v>
      </c>
      <c r="AZ31" s="82">
        <f t="shared" si="1"/>
        <v>0</v>
      </c>
      <c r="BA31" s="82">
        <f t="shared" si="1"/>
        <v>12000</v>
      </c>
      <c r="BB31" s="82">
        <f t="shared" si="1"/>
        <v>0</v>
      </c>
      <c r="BC31" s="82">
        <f t="shared" si="1"/>
        <v>21760</v>
      </c>
      <c r="BD31" s="82">
        <f t="shared" si="1"/>
        <v>0</v>
      </c>
      <c r="BE31" s="82">
        <f t="shared" si="1"/>
        <v>0</v>
      </c>
      <c r="BF31" s="82"/>
      <c r="BG31" s="209"/>
      <c r="BH31" s="210">
        <f t="shared" ref="BH31:BX31" si="2">SUM(BH7:BH30)</f>
        <v>798.22</v>
      </c>
      <c r="BI31" s="210">
        <f t="shared" si="2"/>
        <v>0</v>
      </c>
      <c r="BJ31" s="210">
        <f t="shared" si="2"/>
        <v>17510.370000000003</v>
      </c>
      <c r="BK31" s="210">
        <f t="shared" si="2"/>
        <v>0</v>
      </c>
      <c r="BL31" s="210">
        <f t="shared" si="2"/>
        <v>0</v>
      </c>
      <c r="BM31" s="210">
        <f t="shared" si="2"/>
        <v>0</v>
      </c>
      <c r="BN31" s="210">
        <f t="shared" si="2"/>
        <v>6254.94</v>
      </c>
      <c r="BO31" s="210">
        <f t="shared" si="2"/>
        <v>0</v>
      </c>
      <c r="BP31" s="210">
        <f t="shared" si="2"/>
        <v>0</v>
      </c>
      <c r="BQ31" s="210">
        <f t="shared" si="2"/>
        <v>0</v>
      </c>
      <c r="BR31" s="210">
        <f t="shared" si="2"/>
        <v>19400</v>
      </c>
      <c r="BS31" s="210">
        <f t="shared" si="2"/>
        <v>0</v>
      </c>
      <c r="BT31" s="210">
        <f t="shared" si="2"/>
        <v>6000</v>
      </c>
      <c r="BU31" s="210">
        <f t="shared" si="2"/>
        <v>0</v>
      </c>
      <c r="BV31" s="210">
        <f t="shared" si="2"/>
        <v>0</v>
      </c>
      <c r="BW31" s="210">
        <f t="shared" si="2"/>
        <v>0</v>
      </c>
      <c r="BX31" s="210">
        <f t="shared" si="2"/>
        <v>0</v>
      </c>
      <c r="BY31" s="210"/>
      <c r="BZ31" s="209"/>
      <c r="CA31" s="221">
        <f>SUM(CA8:CA30)</f>
        <v>0</v>
      </c>
      <c r="CB31" s="221"/>
      <c r="CC31" s="221">
        <f>SUM(CC8:CC30)</f>
        <v>0</v>
      </c>
      <c r="CD31" s="221"/>
      <c r="CE31" s="221">
        <f>SUM(CE8:CE30)</f>
        <v>0</v>
      </c>
      <c r="CF31" s="221"/>
      <c r="CG31" s="221">
        <f>SUM(CG8:CG30)</f>
        <v>0</v>
      </c>
      <c r="CH31" s="221"/>
      <c r="CI31" s="221">
        <f>SUM(CI8:CI30)</f>
        <v>0</v>
      </c>
      <c r="CJ31" s="221"/>
      <c r="CK31" s="221">
        <f>SUM(CK8:CK30)</f>
        <v>50000</v>
      </c>
      <c r="CL31" s="221"/>
      <c r="CM31" s="221">
        <f>SUM(CM13:CM30)</f>
        <v>0</v>
      </c>
      <c r="CN31" s="221"/>
      <c r="CO31" s="221">
        <f>SUM(CO13:CO30)</f>
        <v>0</v>
      </c>
      <c r="CP31" s="221"/>
      <c r="CQ31" s="221">
        <f>SUM(CQ8:CQ30)</f>
        <v>0</v>
      </c>
      <c r="CR31" s="221"/>
      <c r="CS31" s="222"/>
      <c r="CT31" s="223">
        <f>SUM(CT8:CT30)</f>
        <v>1070.56</v>
      </c>
      <c r="CU31" s="223"/>
      <c r="CV31" s="223">
        <f>SUM(CV8:CV30)</f>
        <v>8185.1</v>
      </c>
      <c r="CW31" s="223"/>
      <c r="CX31" s="223">
        <f>SUM(CX8:CX30)</f>
        <v>0</v>
      </c>
      <c r="CY31" s="223"/>
      <c r="CZ31" s="223">
        <f>SUM(CZ8:CZ30)</f>
        <v>3954.3399999999997</v>
      </c>
      <c r="DA31" s="223"/>
      <c r="DB31" s="223">
        <f>SUM(DB8:DB30)</f>
        <v>0</v>
      </c>
      <c r="DC31" s="223"/>
      <c r="DD31" s="223">
        <f>SUM(DD8:DD30)</f>
        <v>36790</v>
      </c>
      <c r="DE31" s="223"/>
      <c r="DF31" s="223">
        <f>SUM(DF8:DF30)</f>
        <v>0</v>
      </c>
      <c r="DG31" s="223"/>
      <c r="DH31" s="223"/>
      <c r="DI31" s="223"/>
      <c r="DJ31" s="223">
        <f>SUM(DJ8:DJ30)</f>
        <v>0</v>
      </c>
      <c r="DK31" s="223"/>
      <c r="DL31" s="222"/>
      <c r="DM31" s="82">
        <f>SUM(DM8:DM30)</f>
        <v>0</v>
      </c>
      <c r="DN31" s="82"/>
      <c r="DO31" s="82">
        <f>SUM(DO8:DO30)</f>
        <v>0</v>
      </c>
      <c r="DP31" s="82"/>
      <c r="DQ31" s="82">
        <f>SUM(DQ8:DQ30)</f>
        <v>0</v>
      </c>
      <c r="DR31" s="82"/>
      <c r="DS31" s="82">
        <f>SUM(DS8:DS30)</f>
        <v>0</v>
      </c>
      <c r="DT31" s="82"/>
      <c r="DU31" s="82">
        <f>SUM(DU8:DU30)</f>
        <v>3446.47</v>
      </c>
      <c r="DV31" s="82"/>
      <c r="DW31" s="82">
        <f>SUM(DW8:DW30)</f>
        <v>39000</v>
      </c>
      <c r="DX31" s="82"/>
      <c r="DY31" s="82">
        <f>SUM(DY7:DY30)</f>
        <v>7532.8</v>
      </c>
      <c r="DZ31" s="82"/>
      <c r="EA31" s="82"/>
      <c r="EB31" s="82"/>
      <c r="EC31" s="82">
        <f>SUM(EC8:EC30)</f>
        <v>0</v>
      </c>
      <c r="ED31" s="82"/>
      <c r="EE31" s="222"/>
      <c r="EF31" s="223">
        <f t="shared" ref="EF31:EV31" si="3">SUM(EF7:EF30)</f>
        <v>7360.6</v>
      </c>
      <c r="EG31" s="223">
        <f t="shared" si="3"/>
        <v>0</v>
      </c>
      <c r="EH31" s="223">
        <f t="shared" si="3"/>
        <v>27824.21</v>
      </c>
      <c r="EI31" s="223">
        <f t="shared" si="3"/>
        <v>0</v>
      </c>
      <c r="EJ31" s="223">
        <f t="shared" si="3"/>
        <v>0</v>
      </c>
      <c r="EK31" s="223">
        <f t="shared" si="3"/>
        <v>0</v>
      </c>
      <c r="EL31" s="223">
        <f t="shared" si="3"/>
        <v>0</v>
      </c>
      <c r="EM31" s="223">
        <f t="shared" si="3"/>
        <v>0</v>
      </c>
      <c r="EN31" s="223">
        <f t="shared" si="3"/>
        <v>6634</v>
      </c>
      <c r="EO31" s="223">
        <f t="shared" si="3"/>
        <v>0</v>
      </c>
      <c r="EP31" s="223">
        <f t="shared" si="3"/>
        <v>0</v>
      </c>
      <c r="EQ31" s="223">
        <f t="shared" si="3"/>
        <v>0</v>
      </c>
      <c r="ER31" s="223">
        <f t="shared" si="3"/>
        <v>8000</v>
      </c>
      <c r="ES31" s="223">
        <f t="shared" si="3"/>
        <v>0</v>
      </c>
      <c r="ET31" s="223">
        <f t="shared" si="3"/>
        <v>0</v>
      </c>
      <c r="EU31" s="223">
        <f t="shared" si="3"/>
        <v>0</v>
      </c>
      <c r="EV31" s="223">
        <f t="shared" si="3"/>
        <v>0</v>
      </c>
      <c r="EW31" s="223"/>
      <c r="EX31" s="222"/>
      <c r="EY31" s="221">
        <f>SUM(EY8:EY30)</f>
        <v>0</v>
      </c>
      <c r="EZ31" s="221"/>
      <c r="FA31" s="221">
        <f>SUM(FA8:FA30)</f>
        <v>8910.6</v>
      </c>
      <c r="FB31" s="221"/>
      <c r="FC31" s="221">
        <f>SUM(FC8:FC30)</f>
        <v>0</v>
      </c>
      <c r="FD31" s="221"/>
      <c r="FE31" s="221">
        <f>SUM(FE8:FE30)</f>
        <v>2924.9</v>
      </c>
      <c r="FF31" s="221"/>
      <c r="FG31" s="221">
        <f>SUM(FG8:FG30)</f>
        <v>0</v>
      </c>
      <c r="FH31" s="221"/>
      <c r="FI31" s="221">
        <f>SUM(FI8:FI30)</f>
        <v>23168</v>
      </c>
      <c r="FJ31" s="221"/>
      <c r="FK31" s="221">
        <f>SUM(FK8:FK30)</f>
        <v>15000</v>
      </c>
      <c r="FL31" s="221"/>
      <c r="FM31" s="221">
        <f>SUM(FM8:FM30)</f>
        <v>0</v>
      </c>
      <c r="FN31" s="221"/>
      <c r="FO31" s="221">
        <f>SUM(FO8:FO30)</f>
        <v>0</v>
      </c>
      <c r="FP31" s="221"/>
      <c r="FQ31" s="222"/>
      <c r="FR31" s="223">
        <f>SUM(FR8:FR30)</f>
        <v>0</v>
      </c>
      <c r="FS31" s="223"/>
      <c r="FT31" s="223">
        <f>SUM(FT8:FT30)</f>
        <v>6557.15</v>
      </c>
      <c r="FU31" s="223"/>
      <c r="FV31" s="223">
        <f>SUM(FV8:FV30)</f>
        <v>0</v>
      </c>
      <c r="FW31" s="223"/>
      <c r="FX31" s="223">
        <f>SUM(FX8:FX30)</f>
        <v>12407</v>
      </c>
      <c r="FY31" s="223"/>
      <c r="FZ31" s="223">
        <f>SUM(FZ8:FZ30)</f>
        <v>12000</v>
      </c>
      <c r="GA31" s="223"/>
      <c r="GB31" s="223">
        <f>SUM(GB8:GB30)</f>
        <v>10000</v>
      </c>
      <c r="GC31" s="223"/>
      <c r="GD31" s="223">
        <f>SUM(GD10:GD30)</f>
        <v>9000</v>
      </c>
      <c r="GE31" s="223"/>
      <c r="GF31" s="223">
        <f>SUM(GF13:GF30)</f>
        <v>0</v>
      </c>
      <c r="GG31" s="223"/>
      <c r="GH31" s="223">
        <f>SUM(GH8:GH30)</f>
        <v>0</v>
      </c>
      <c r="GI31" s="223"/>
      <c r="GJ31" s="222"/>
      <c r="GK31" s="221">
        <f t="shared" ref="GK31:HA31" si="4">SUM(GK7:GK30)</f>
        <v>0</v>
      </c>
      <c r="GL31" s="221">
        <f t="shared" si="4"/>
        <v>0</v>
      </c>
      <c r="GM31" s="221">
        <f t="shared" si="4"/>
        <v>15140.83</v>
      </c>
      <c r="GN31" s="221">
        <f t="shared" si="4"/>
        <v>0</v>
      </c>
      <c r="GO31" s="221">
        <f t="shared" si="4"/>
        <v>0</v>
      </c>
      <c r="GP31" s="221">
        <f t="shared" si="4"/>
        <v>0</v>
      </c>
      <c r="GQ31" s="221">
        <f t="shared" si="4"/>
        <v>7215.01</v>
      </c>
      <c r="GR31" s="221">
        <f t="shared" si="4"/>
        <v>0</v>
      </c>
      <c r="GS31" s="221">
        <f t="shared" si="4"/>
        <v>9630</v>
      </c>
      <c r="GT31" s="221">
        <f t="shared" si="4"/>
        <v>0</v>
      </c>
      <c r="GU31" s="221">
        <f t="shared" si="4"/>
        <v>0</v>
      </c>
      <c r="GV31" s="221">
        <f t="shared" si="4"/>
        <v>0</v>
      </c>
      <c r="GW31" s="221">
        <f t="shared" si="4"/>
        <v>18000</v>
      </c>
      <c r="GX31" s="221">
        <f t="shared" si="4"/>
        <v>0</v>
      </c>
      <c r="GY31" s="221">
        <f t="shared" si="4"/>
        <v>0</v>
      </c>
      <c r="GZ31" s="221">
        <f t="shared" si="4"/>
        <v>0</v>
      </c>
      <c r="HA31" s="221">
        <f t="shared" si="4"/>
        <v>0</v>
      </c>
      <c r="HB31" s="221"/>
      <c r="HC31" s="222"/>
      <c r="HD31" s="223">
        <f>SUM(HD8:HD30)</f>
        <v>2700</v>
      </c>
      <c r="HE31" s="223"/>
      <c r="HF31" s="223">
        <f>SUM(HF8:HF30)</f>
        <v>21481.969999999998</v>
      </c>
      <c r="HG31" s="223"/>
      <c r="HH31" s="223">
        <f>SUM(HH8:HH30)</f>
        <v>0</v>
      </c>
      <c r="HI31" s="223"/>
      <c r="HJ31" s="223">
        <f>SUM(HJ8:HJ30)</f>
        <v>3103</v>
      </c>
      <c r="HK31" s="223"/>
      <c r="HL31" s="223">
        <f>SUM(HL8:HL30)</f>
        <v>1712</v>
      </c>
      <c r="HM31" s="223"/>
      <c r="HN31" s="223">
        <f>SUM(HN8:HN30)</f>
        <v>0</v>
      </c>
      <c r="HO31" s="223"/>
      <c r="HP31" s="223">
        <f>SUM(HP8:HP30)</f>
        <v>21000</v>
      </c>
      <c r="HQ31" s="223"/>
      <c r="HR31" s="223">
        <f>SUM(HR8:HR30)</f>
        <v>0</v>
      </c>
      <c r="HS31" s="223"/>
      <c r="HT31" s="223">
        <f>SUM(HT8:HT30)</f>
        <v>0</v>
      </c>
      <c r="HU31" s="223"/>
      <c r="HV31" s="222"/>
      <c r="HW31" s="221">
        <f>SUM(HW8:HW30)</f>
        <v>0</v>
      </c>
      <c r="HX31" s="221"/>
      <c r="HY31" s="221">
        <f>SUM(HY8:HY30)</f>
        <v>9540.48</v>
      </c>
      <c r="HZ31" s="221"/>
      <c r="IA31" s="221">
        <f>SUM(IA8:IA30)</f>
        <v>0</v>
      </c>
      <c r="IB31" s="221"/>
      <c r="IC31" s="221">
        <f>SUM(IC8:IC30)</f>
        <v>0</v>
      </c>
      <c r="ID31" s="221"/>
      <c r="IE31" s="221">
        <f>SUM(IE8:IE30)</f>
        <v>1478.1</v>
      </c>
      <c r="IF31" s="221"/>
      <c r="IG31" s="221">
        <f>SUM(IG8:IG30)</f>
        <v>0</v>
      </c>
      <c r="IH31" s="221"/>
      <c r="II31" s="221">
        <f>SUM(II8:II30)</f>
        <v>0</v>
      </c>
      <c r="IJ31" s="221"/>
      <c r="IK31" s="221">
        <f>SUM(IK8:IK30)</f>
        <v>38400</v>
      </c>
      <c r="IL31" s="221"/>
      <c r="IM31" s="221">
        <f>SUM(IM8:IM30)</f>
        <v>0</v>
      </c>
      <c r="IN31" s="221"/>
      <c r="IO31" s="222"/>
      <c r="IP31" s="223">
        <f t="shared" ref="IP31:JF31" si="5">SUM(IP7:IP30)</f>
        <v>480</v>
      </c>
      <c r="IQ31" s="223">
        <f t="shared" si="5"/>
        <v>0</v>
      </c>
      <c r="IR31" s="223">
        <f t="shared" si="5"/>
        <v>24877.27</v>
      </c>
      <c r="IS31" s="223">
        <f t="shared" si="5"/>
        <v>0</v>
      </c>
      <c r="IT31" s="223">
        <f t="shared" si="5"/>
        <v>0</v>
      </c>
      <c r="IU31" s="223">
        <f t="shared" si="5"/>
        <v>0</v>
      </c>
      <c r="IV31" s="223">
        <f t="shared" si="5"/>
        <v>508.25</v>
      </c>
      <c r="IW31" s="223">
        <f t="shared" si="5"/>
        <v>0</v>
      </c>
      <c r="IX31" s="223">
        <f t="shared" si="5"/>
        <v>6955</v>
      </c>
      <c r="IY31" s="223">
        <f t="shared" si="5"/>
        <v>0</v>
      </c>
      <c r="IZ31" s="223">
        <f t="shared" si="5"/>
        <v>0</v>
      </c>
      <c r="JA31" s="223">
        <f t="shared" si="5"/>
        <v>0</v>
      </c>
      <c r="JB31" s="223">
        <f t="shared" si="5"/>
        <v>0</v>
      </c>
      <c r="JC31" s="223">
        <f t="shared" si="5"/>
        <v>0</v>
      </c>
      <c r="JD31" s="223">
        <f t="shared" si="5"/>
        <v>16000</v>
      </c>
      <c r="JE31" s="223">
        <f t="shared" si="5"/>
        <v>0</v>
      </c>
      <c r="JF31" s="223">
        <f t="shared" si="5"/>
        <v>0</v>
      </c>
      <c r="JG31" s="223"/>
      <c r="JH31" s="222"/>
      <c r="JI31" s="82">
        <f t="shared" ref="JI31:JY31" si="6">SUM(JI7:JI30)</f>
        <v>202</v>
      </c>
      <c r="JJ31" s="82">
        <f t="shared" si="6"/>
        <v>0</v>
      </c>
      <c r="JK31" s="82">
        <f t="shared" si="6"/>
        <v>7589.42</v>
      </c>
      <c r="JL31" s="82">
        <f t="shared" si="6"/>
        <v>0</v>
      </c>
      <c r="JM31" s="82">
        <f t="shared" si="6"/>
        <v>0</v>
      </c>
      <c r="JN31" s="82">
        <f t="shared" si="6"/>
        <v>0</v>
      </c>
      <c r="JO31" s="82">
        <f t="shared" si="6"/>
        <v>406.6</v>
      </c>
      <c r="JP31" s="82">
        <f t="shared" si="6"/>
        <v>0</v>
      </c>
      <c r="JQ31" s="82">
        <f t="shared" si="6"/>
        <v>0</v>
      </c>
      <c r="JR31" s="82">
        <f t="shared" si="6"/>
        <v>0</v>
      </c>
      <c r="JS31" s="82">
        <f t="shared" si="6"/>
        <v>29500</v>
      </c>
      <c r="JT31" s="82">
        <f t="shared" si="6"/>
        <v>0</v>
      </c>
      <c r="JU31" s="82">
        <f t="shared" si="6"/>
        <v>12500</v>
      </c>
      <c r="JV31" s="82">
        <f t="shared" si="6"/>
        <v>0</v>
      </c>
      <c r="JW31" s="82">
        <f t="shared" si="6"/>
        <v>0</v>
      </c>
      <c r="JX31" s="82">
        <f t="shared" si="6"/>
        <v>0</v>
      </c>
      <c r="JY31" s="82">
        <f t="shared" si="6"/>
        <v>0</v>
      </c>
      <c r="JZ31" s="82"/>
      <c r="KA31" s="209"/>
      <c r="KB31" s="223">
        <f t="shared" ref="KB31:KR31" si="7">SUM(KB7:KB30)</f>
        <v>0</v>
      </c>
      <c r="KC31" s="223">
        <f t="shared" si="7"/>
        <v>0</v>
      </c>
      <c r="KD31" s="223">
        <f t="shared" si="7"/>
        <v>2541.06</v>
      </c>
      <c r="KE31" s="223">
        <f t="shared" si="7"/>
        <v>0</v>
      </c>
      <c r="KF31" s="223">
        <f t="shared" si="7"/>
        <v>0</v>
      </c>
      <c r="KG31" s="223">
        <f t="shared" si="7"/>
        <v>0</v>
      </c>
      <c r="KH31" s="223">
        <f t="shared" si="7"/>
        <v>214</v>
      </c>
      <c r="KI31" s="223">
        <f t="shared" si="7"/>
        <v>0</v>
      </c>
      <c r="KJ31" s="223">
        <f t="shared" si="7"/>
        <v>0</v>
      </c>
      <c r="KK31" s="223">
        <f t="shared" si="7"/>
        <v>0</v>
      </c>
      <c r="KL31" s="223">
        <f t="shared" si="7"/>
        <v>26744.9</v>
      </c>
      <c r="KM31" s="223">
        <f t="shared" si="7"/>
        <v>0</v>
      </c>
      <c r="KN31" s="223">
        <f t="shared" si="7"/>
        <v>20500</v>
      </c>
      <c r="KO31" s="223">
        <f t="shared" si="7"/>
        <v>0</v>
      </c>
      <c r="KP31" s="223">
        <f t="shared" si="7"/>
        <v>0</v>
      </c>
      <c r="KQ31" s="223">
        <f t="shared" si="7"/>
        <v>0</v>
      </c>
      <c r="KR31" s="223">
        <f t="shared" si="7"/>
        <v>0</v>
      </c>
      <c r="KS31" s="223"/>
      <c r="KT31" s="221">
        <f>SUM(KT8:KT30)</f>
        <v>0</v>
      </c>
      <c r="KU31" s="221"/>
      <c r="KV31" s="221">
        <f>SUM(KV8:KV30)</f>
        <v>0</v>
      </c>
      <c r="KW31" s="221"/>
      <c r="KX31" s="221">
        <f>SUM(KX8:KX30)</f>
        <v>0</v>
      </c>
      <c r="KY31" s="221"/>
      <c r="KZ31" s="221">
        <f>SUM(KZ8:KZ30)</f>
        <v>0</v>
      </c>
      <c r="LA31" s="221"/>
      <c r="LB31" s="221"/>
      <c r="LC31" s="221"/>
      <c r="LD31" s="221"/>
      <c r="LE31" s="221"/>
      <c r="LF31" s="221"/>
      <c r="LG31" s="221"/>
      <c r="LH31" s="221"/>
      <c r="LI31" s="221"/>
      <c r="LJ31" s="221">
        <f>SUM(LJ8:LJ30)</f>
        <v>0</v>
      </c>
      <c r="LK31" s="221"/>
      <c r="LL31" s="221">
        <f>SUM(LL8:LL30)</f>
        <v>0</v>
      </c>
      <c r="LM31" s="221"/>
      <c r="LN31" s="221">
        <f>SUM(LN8:LN30)</f>
        <v>0</v>
      </c>
      <c r="LO31" s="221"/>
      <c r="LP31" s="221">
        <f>SUM(LP8:LP30)</f>
        <v>0</v>
      </c>
      <c r="LQ31" s="221"/>
      <c r="LR31" s="221">
        <f>SUM(LR8:LR30)</f>
        <v>0</v>
      </c>
      <c r="LS31" s="221"/>
      <c r="LT31" s="221"/>
      <c r="LU31" s="221"/>
      <c r="LV31" s="221"/>
      <c r="LW31" s="221"/>
      <c r="LX31" s="221"/>
      <c r="LY31" s="221"/>
      <c r="LZ31" s="221"/>
      <c r="MA31" s="221"/>
      <c r="MB31" s="221">
        <f>SUM(MB8:MB30)</f>
        <v>0</v>
      </c>
      <c r="MC31" s="221"/>
      <c r="MD31" s="82">
        <f>C31+E31+G31+I31+K31+M31+O31+Q31+S31+V31+X31+Z31+AB31+AD31+AF31+AH31+AJ31+AL31+AO31+AQ31+AS31+AU31+AW31+AY31+BA31+BC31+BE31+BH31+BL31+BJ31+BN31+BP31+BR31+BT31+BV31+BX31+CA31+CC31+CE31+CG31+CI31+CK31+CM31+CO31+CQ31+CT31+CV31+CX31+CZ31+DB31+DD31+DF31+DH31+DJ31+DM31+DO31+DQ31+DS31+DU31+DW31+DY31+EC31++EA31+EF31+EH31+EJ31+EL31+EN31+EP31+ER31+ET31+EV31+EY31+FA31+FC31+FE31+FG31+FI31+FK31+FM31+FO31+FR31+FT31+FV31+FX31+FZ31+GB31+GD31+GF31+GH31+GK31+GM31+GO31+GQ31+GS31+GU31+GW31+GY31+HA31+HD31+HF31+HH31+HJ31+HL31+HN31+HP31+HR31+HT31+HW31+HY31+IA31+IC31+IE31+IG31+II31+IK31+IM31+IP31+IR31+IT31+IV31+IX31+IZ31+JB31+JD31+JI31++JF31+JK31+JM31+JO31+JQ31+JS31+JU31+JW31+JY31+KB31+KD31+KF31+KH31+KJ31+KL31+KN31+KP31+KR31</f>
        <v>797715.39000000013</v>
      </c>
      <c r="ME31" s="172">
        <f>'จัดสรร ค่าสาธารณู สสอ.'!I24</f>
        <v>797715.39</v>
      </c>
      <c r="MF31" s="188">
        <f>MD31-ME31</f>
        <v>0</v>
      </c>
    </row>
    <row r="32" spans="2:344" s="71" customFormat="1" ht="24.75" customHeight="1">
      <c r="B32" s="224" t="s">
        <v>63</v>
      </c>
      <c r="C32" s="225"/>
      <c r="D32" s="226"/>
      <c r="E32" s="226"/>
      <c r="F32" s="226"/>
      <c r="G32" s="226"/>
      <c r="H32" s="226"/>
      <c r="I32" s="226"/>
      <c r="J32" s="226"/>
      <c r="K32" s="226">
        <f>C31+E31+G31+I31+K31+M31+O31+Q31+S31</f>
        <v>49945.97</v>
      </c>
      <c r="L32" s="226"/>
      <c r="M32" s="226"/>
      <c r="N32" s="226"/>
      <c r="O32" s="226"/>
      <c r="P32" s="226"/>
      <c r="Q32" s="226"/>
      <c r="R32" s="226"/>
      <c r="S32" s="226"/>
      <c r="T32" s="226"/>
      <c r="U32" s="227"/>
      <c r="V32" s="228"/>
      <c r="W32" s="229"/>
      <c r="X32" s="229"/>
      <c r="Y32" s="229"/>
      <c r="Z32" s="229"/>
      <c r="AA32" s="229"/>
      <c r="AB32" s="229"/>
      <c r="AC32" s="229"/>
      <c r="AD32" s="229"/>
      <c r="AE32" s="229"/>
      <c r="AF32" s="230">
        <f>V31+X31+Z31+AB31+AD31+AF31+AH31+AJ31+AL31</f>
        <v>49994.05</v>
      </c>
      <c r="AG32" s="229"/>
      <c r="AH32" s="229"/>
      <c r="AI32" s="229"/>
      <c r="AJ32" s="229"/>
      <c r="AK32" s="229"/>
      <c r="AL32" s="229"/>
      <c r="AM32" s="231"/>
      <c r="AN32" s="232"/>
      <c r="AO32" s="225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>
        <f>AO31+AQ31+AS31+AU31+AW31+AY31+BA31+BC31+BE31</f>
        <v>49626.22</v>
      </c>
      <c r="AZ32" s="233"/>
      <c r="BA32" s="233"/>
      <c r="BB32" s="233"/>
      <c r="BC32" s="233"/>
      <c r="BD32" s="233"/>
      <c r="BE32" s="233"/>
      <c r="BF32" s="234"/>
      <c r="BG32" s="232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>
        <f>BH31+BJ31+BL31+BN31+BP31+BR31+BT31+BV31+BX31</f>
        <v>49963.53</v>
      </c>
      <c r="BS32" s="229"/>
      <c r="BT32" s="229"/>
      <c r="BU32" s="229"/>
      <c r="BV32" s="229"/>
      <c r="BW32" s="229"/>
      <c r="BX32" s="229"/>
      <c r="BY32" s="231"/>
      <c r="BZ32" s="232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>
        <f>CA31+CC31+CE31+CG31+CI31+CK31+CM31+CO31+CQ31</f>
        <v>50000</v>
      </c>
      <c r="CL32" s="233"/>
      <c r="CM32" s="233"/>
      <c r="CN32" s="233"/>
      <c r="CO32" s="233"/>
      <c r="CP32" s="233"/>
      <c r="CQ32" s="233"/>
      <c r="CR32" s="234"/>
      <c r="CS32" s="232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>
        <f>CT31+CV31+CX31+CZ31+DB31+DD31+DF31+DH31+DJ31</f>
        <v>50000</v>
      </c>
      <c r="DE32" s="229"/>
      <c r="DF32" s="229"/>
      <c r="DG32" s="229"/>
      <c r="DH32" s="229"/>
      <c r="DI32" s="229"/>
      <c r="DJ32" s="229"/>
      <c r="DK32" s="231"/>
      <c r="DL32" s="232"/>
      <c r="DM32" s="233"/>
      <c r="DN32" s="233"/>
      <c r="DO32" s="233"/>
      <c r="DP32" s="233"/>
      <c r="DQ32" s="233"/>
      <c r="DR32" s="233"/>
      <c r="DS32" s="233"/>
      <c r="DT32" s="233"/>
      <c r="DU32" s="233"/>
      <c r="DV32" s="233"/>
      <c r="DW32" s="233">
        <f>DM31+DO31+DQ31+DS31+DU31+DW31+DY31+EA31+EC31</f>
        <v>49979.270000000004</v>
      </c>
      <c r="DX32" s="233"/>
      <c r="DY32" s="233"/>
      <c r="DZ32" s="233"/>
      <c r="EA32" s="233"/>
      <c r="EB32" s="233"/>
      <c r="EC32" s="233"/>
      <c r="ED32" s="234"/>
      <c r="EE32" s="232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>
        <f>EF31+EH31+EJ31+EL31+EN31+EP31+ER31+ET31+EV31</f>
        <v>49818.81</v>
      </c>
      <c r="EQ32" s="229"/>
      <c r="ER32" s="229"/>
      <c r="ES32" s="229"/>
      <c r="ET32" s="229"/>
      <c r="EU32" s="229"/>
      <c r="EV32" s="229"/>
      <c r="EW32" s="231"/>
      <c r="EX32" s="232"/>
      <c r="EY32" s="233"/>
      <c r="EZ32" s="233"/>
      <c r="FA32" s="233"/>
      <c r="FB32" s="233"/>
      <c r="FC32" s="233"/>
      <c r="FD32" s="233"/>
      <c r="FE32" s="233"/>
      <c r="FF32" s="233"/>
      <c r="FG32" s="233"/>
      <c r="FH32" s="233"/>
      <c r="FI32" s="235">
        <f>EY31+FA31+FC31+FE31+FG31+FI31+FK31+FM31+FO31</f>
        <v>50003.5</v>
      </c>
      <c r="FJ32" s="233"/>
      <c r="FK32" s="233"/>
      <c r="FL32" s="233"/>
      <c r="FM32" s="233"/>
      <c r="FN32" s="233"/>
      <c r="FO32" s="233"/>
      <c r="FP32" s="234"/>
      <c r="FQ32" s="232"/>
      <c r="FR32" s="229"/>
      <c r="FS32" s="229"/>
      <c r="FT32" s="229"/>
      <c r="FU32" s="229"/>
      <c r="FV32" s="229"/>
      <c r="FW32" s="229"/>
      <c r="FX32" s="229"/>
      <c r="FY32" s="229"/>
      <c r="FZ32" s="229"/>
      <c r="GA32" s="229"/>
      <c r="GB32" s="229">
        <f>FR31+FT31+FV31+FX31+FZ31+GB31+GD31+GF31+GH31</f>
        <v>49964.15</v>
      </c>
      <c r="GC32" s="229"/>
      <c r="GD32" s="229"/>
      <c r="GE32" s="229"/>
      <c r="GF32" s="229"/>
      <c r="GG32" s="229"/>
      <c r="GH32" s="229"/>
      <c r="GI32" s="231"/>
      <c r="GJ32" s="232"/>
      <c r="GK32" s="233"/>
      <c r="GL32" s="233"/>
      <c r="GM32" s="233"/>
      <c r="GN32" s="233"/>
      <c r="GO32" s="233"/>
      <c r="GP32" s="233"/>
      <c r="GQ32" s="233"/>
      <c r="GR32" s="233"/>
      <c r="GS32" s="233"/>
      <c r="GT32" s="233"/>
      <c r="GU32" s="233">
        <f>GK31+GM31+GO31+GQ31+GS31+GU31+GW31+GY31+HA31</f>
        <v>49985.84</v>
      </c>
      <c r="GV32" s="233"/>
      <c r="GW32" s="233"/>
      <c r="GX32" s="233"/>
      <c r="GY32" s="233"/>
      <c r="GZ32" s="233"/>
      <c r="HA32" s="233"/>
      <c r="HB32" s="234"/>
      <c r="HC32" s="232"/>
      <c r="HD32" s="229"/>
      <c r="HE32" s="229"/>
      <c r="HF32" s="229"/>
      <c r="HG32" s="229"/>
      <c r="HH32" s="229"/>
      <c r="HI32" s="229"/>
      <c r="HJ32" s="229"/>
      <c r="HK32" s="229"/>
      <c r="HL32" s="229"/>
      <c r="HM32" s="229"/>
      <c r="HN32" s="229">
        <f>HD31+HF31+HH31+HJ31+HL31+HN31+HP31+HR31+HT31</f>
        <v>49996.97</v>
      </c>
      <c r="HO32" s="229"/>
      <c r="HP32" s="229"/>
      <c r="HQ32" s="229"/>
      <c r="HR32" s="229"/>
      <c r="HS32" s="229"/>
      <c r="HT32" s="229"/>
      <c r="HU32" s="231"/>
      <c r="HV32" s="232"/>
      <c r="HW32" s="233"/>
      <c r="HX32" s="233"/>
      <c r="HY32" s="233"/>
      <c r="HZ32" s="233"/>
      <c r="IA32" s="233"/>
      <c r="IB32" s="233"/>
      <c r="IC32" s="233"/>
      <c r="ID32" s="233"/>
      <c r="IE32" s="233"/>
      <c r="IF32" s="233"/>
      <c r="IG32" s="235">
        <f>HW31+HY31+IA31+IC31+IE31+IG31+II31+IK31+IM31</f>
        <v>49418.58</v>
      </c>
      <c r="IH32" s="233"/>
      <c r="II32" s="233"/>
      <c r="IJ32" s="233"/>
      <c r="IK32" s="233"/>
      <c r="IL32" s="233"/>
      <c r="IM32" s="233"/>
      <c r="IN32" s="234"/>
      <c r="IO32" s="232"/>
      <c r="IP32" s="229"/>
      <c r="IQ32" s="229"/>
      <c r="IR32" s="229"/>
      <c r="IS32" s="229"/>
      <c r="IT32" s="229"/>
      <c r="IU32" s="229"/>
      <c r="IV32" s="229"/>
      <c r="IW32" s="229"/>
      <c r="IX32" s="229"/>
      <c r="IY32" s="229"/>
      <c r="IZ32" s="229">
        <f>IP31+IR31+IT31+IV31+IX31+IZ31+JB31+JD31+JF31</f>
        <v>48820.520000000004</v>
      </c>
      <c r="JA32" s="229"/>
      <c r="JB32" s="229"/>
      <c r="JC32" s="229"/>
      <c r="JD32" s="229"/>
      <c r="JE32" s="229"/>
      <c r="JF32" s="229"/>
      <c r="JG32" s="231"/>
      <c r="JH32" s="232"/>
      <c r="JI32" s="233"/>
      <c r="JJ32" s="233"/>
      <c r="JK32" s="233"/>
      <c r="JL32" s="233"/>
      <c r="JM32" s="233"/>
      <c r="JN32" s="233"/>
      <c r="JO32" s="233"/>
      <c r="JP32" s="233"/>
      <c r="JQ32" s="233"/>
      <c r="JR32" s="233"/>
      <c r="JS32" s="233">
        <f>JI31+JK31+JM31+JO31+JQ31+JS31+JU31+JW31+JY31</f>
        <v>50198.020000000004</v>
      </c>
      <c r="JT32" s="233"/>
      <c r="JU32" s="233"/>
      <c r="JV32" s="233"/>
      <c r="JW32" s="233"/>
      <c r="JX32" s="233"/>
      <c r="JY32" s="233"/>
      <c r="JZ32" s="234"/>
      <c r="KA32" s="232"/>
      <c r="KB32" s="229"/>
      <c r="KC32" s="229"/>
      <c r="KD32" s="229"/>
      <c r="KE32" s="229"/>
      <c r="KF32" s="229"/>
      <c r="KG32" s="229"/>
      <c r="KH32" s="229"/>
      <c r="KI32" s="229"/>
      <c r="KJ32" s="229"/>
      <c r="KK32" s="229"/>
      <c r="KL32" s="229">
        <f>KB31+KD31+KF31+KH31+KJ31+KL31+KN31+KP31+KR31</f>
        <v>49999.960000000006</v>
      </c>
      <c r="KM32" s="229"/>
      <c r="KN32" s="229"/>
      <c r="KO32" s="229"/>
      <c r="KP32" s="229"/>
      <c r="KQ32" s="229"/>
      <c r="KR32" s="229"/>
      <c r="KS32" s="231"/>
      <c r="KT32" s="221"/>
      <c r="KU32" s="221"/>
      <c r="KV32" s="221"/>
      <c r="KW32" s="221"/>
      <c r="KX32" s="221"/>
      <c r="KY32" s="221"/>
      <c r="KZ32" s="221"/>
      <c r="LA32" s="221"/>
      <c r="LB32" s="221"/>
      <c r="LC32" s="221"/>
      <c r="LD32" s="221"/>
      <c r="LE32" s="221"/>
      <c r="LF32" s="221"/>
      <c r="LG32" s="221"/>
      <c r="LH32" s="221"/>
      <c r="LI32" s="221"/>
      <c r="LJ32" s="221"/>
      <c r="LK32" s="221"/>
      <c r="LL32" s="221"/>
      <c r="LM32" s="221"/>
      <c r="LN32" s="221"/>
      <c r="LO32" s="221"/>
      <c r="LP32" s="221"/>
      <c r="LQ32" s="221"/>
      <c r="LR32" s="221"/>
      <c r="LS32" s="221"/>
      <c r="LT32" s="221"/>
      <c r="LU32" s="221"/>
      <c r="LV32" s="221"/>
      <c r="LW32" s="221"/>
      <c r="LX32" s="221"/>
      <c r="LY32" s="221"/>
      <c r="LZ32" s="221"/>
      <c r="MA32" s="221"/>
      <c r="MB32" s="221"/>
      <c r="MC32" s="221"/>
      <c r="MD32" s="82">
        <f>MD4-MD31</f>
        <v>2284.6099999998696</v>
      </c>
      <c r="ME32" s="172"/>
      <c r="MF32" s="188"/>
    </row>
    <row r="33" spans="2:343">
      <c r="MD33" s="237"/>
      <c r="ME33" s="237"/>
    </row>
    <row r="35" spans="2:343" s="71" customFormat="1" ht="24.75" hidden="1" customHeight="1">
      <c r="B35" s="211" t="s">
        <v>62</v>
      </c>
      <c r="C35" s="82">
        <f>SUM(C16:C34)</f>
        <v>710.48</v>
      </c>
      <c r="D35" s="82"/>
      <c r="E35" s="82">
        <f>SUM(E16:E34)</f>
        <v>42053.79</v>
      </c>
      <c r="F35" s="82"/>
      <c r="G35" s="82">
        <f>SUM(G16:G34)</f>
        <v>0</v>
      </c>
      <c r="H35" s="82"/>
      <c r="I35" s="82">
        <f>SUM(I16:I34)</f>
        <v>6091.51</v>
      </c>
      <c r="J35" s="82"/>
      <c r="K35" s="82">
        <f>SUM(K16:K34)</f>
        <v>51869.69</v>
      </c>
      <c r="L35" s="82"/>
      <c r="M35" s="82">
        <f>SUM(M16:M34)</f>
        <v>0</v>
      </c>
      <c r="N35" s="82"/>
      <c r="O35" s="82">
        <f>SUM(O16:O34)</f>
        <v>0</v>
      </c>
      <c r="P35" s="82"/>
      <c r="Q35" s="82">
        <f>SUM(Q16:Q34)</f>
        <v>0</v>
      </c>
      <c r="R35" s="82"/>
      <c r="S35" s="82">
        <f>SUM(S16:S34)</f>
        <v>0</v>
      </c>
      <c r="T35" s="82"/>
      <c r="U35" s="82"/>
      <c r="V35" s="210">
        <f>SUM(V16:V34)</f>
        <v>980.12</v>
      </c>
      <c r="W35" s="210"/>
      <c r="X35" s="210">
        <f>SUM(X16:X34)</f>
        <v>16176.590000000002</v>
      </c>
      <c r="Y35" s="210"/>
      <c r="Z35" s="210">
        <f>SUM(Z16:Z34)</f>
        <v>0</v>
      </c>
      <c r="AA35" s="210"/>
      <c r="AB35" s="210">
        <f>SUM(AB16:AB34)</f>
        <v>2332.6000000000004</v>
      </c>
      <c r="AC35" s="210"/>
      <c r="AD35" s="210">
        <f>SUM(AD16:AD34)</f>
        <v>2931.8</v>
      </c>
      <c r="AE35" s="210"/>
      <c r="AF35" s="210">
        <f>SUM(AF16:AF34)</f>
        <v>99994.05</v>
      </c>
      <c r="AG35" s="210"/>
      <c r="AH35" s="210">
        <f>SUM(AH16:AH34)</f>
        <v>17180</v>
      </c>
      <c r="AI35" s="210"/>
      <c r="AJ35" s="210"/>
      <c r="AK35" s="210"/>
      <c r="AL35" s="210">
        <f>SUM(AL16:AL34)</f>
        <v>0</v>
      </c>
      <c r="AM35" s="210"/>
      <c r="AN35" s="210"/>
      <c r="AO35" s="82">
        <f>SUM(AO16:AO34)</f>
        <v>390</v>
      </c>
      <c r="AP35" s="82"/>
      <c r="AQ35" s="82">
        <f>SUM(AQ16:AQ34)</f>
        <v>12065.300000000003</v>
      </c>
      <c r="AR35" s="82"/>
      <c r="AS35" s="82">
        <f>SUM(AS16:AS34)</f>
        <v>0</v>
      </c>
      <c r="AT35" s="82"/>
      <c r="AU35" s="82">
        <f>SUM(AU16:AU34)</f>
        <v>1653.83</v>
      </c>
      <c r="AV35" s="82"/>
      <c r="AW35" s="82">
        <f>SUM(AW16:AW34)</f>
        <v>5614.2900000000009</v>
      </c>
      <c r="AX35" s="82"/>
      <c r="AY35" s="82">
        <f>SUM(AY16:AY34)</f>
        <v>49626.22</v>
      </c>
      <c r="AZ35" s="82"/>
      <c r="BA35" s="82">
        <f>SUM(BA16:BA34)</f>
        <v>15000</v>
      </c>
      <c r="BB35" s="82"/>
      <c r="BC35" s="82"/>
      <c r="BD35" s="82"/>
      <c r="BE35" s="82">
        <f>SUM(BE16:BE34)</f>
        <v>0</v>
      </c>
      <c r="BF35" s="82"/>
      <c r="BG35" s="82"/>
      <c r="BH35" s="223">
        <f>SUM(BH16:BH34)</f>
        <v>798.22</v>
      </c>
      <c r="BI35" s="223"/>
      <c r="BJ35" s="223">
        <f>SUM(BJ16:BJ34)</f>
        <v>17510.370000000003</v>
      </c>
      <c r="BK35" s="223"/>
      <c r="BL35" s="223">
        <f>SUM(BL16:BL34)</f>
        <v>0</v>
      </c>
      <c r="BM35" s="223"/>
      <c r="BN35" s="223">
        <f>SUM(BN16:BN34)</f>
        <v>7238.2699999999995</v>
      </c>
      <c r="BO35" s="223"/>
      <c r="BP35" s="223">
        <f>SUM(BP16:BP34)</f>
        <v>0</v>
      </c>
      <c r="BQ35" s="223"/>
      <c r="BR35" s="223">
        <f>SUM(BR16:BR34)</f>
        <v>69363.53</v>
      </c>
      <c r="BS35" s="223"/>
      <c r="BT35" s="223">
        <f>SUM(BT16:BT34)</f>
        <v>6000</v>
      </c>
      <c r="BU35" s="223"/>
      <c r="BV35" s="223"/>
      <c r="BW35" s="223"/>
      <c r="BX35" s="223">
        <f>SUM(BX16:BX34)</f>
        <v>0</v>
      </c>
      <c r="BY35" s="223"/>
      <c r="BZ35" s="223"/>
      <c r="CA35" s="221">
        <f>SUM(CA16:CA34)</f>
        <v>0</v>
      </c>
      <c r="CB35" s="221"/>
      <c r="CC35" s="221">
        <f>SUM(CC16:CC34)</f>
        <v>0</v>
      </c>
      <c r="CD35" s="221"/>
      <c r="CE35" s="221">
        <f>SUM(CE16:CE34)</f>
        <v>0</v>
      </c>
      <c r="CF35" s="221"/>
      <c r="CG35" s="221">
        <f>SUM(CG16:CG34)</f>
        <v>0</v>
      </c>
      <c r="CH35" s="221"/>
      <c r="CI35" s="221">
        <f>SUM(CI16:CI34)</f>
        <v>0</v>
      </c>
      <c r="CJ35" s="221"/>
      <c r="CK35" s="221">
        <f>SUM(CK16:CK34)</f>
        <v>150000</v>
      </c>
      <c r="CL35" s="221"/>
      <c r="CM35" s="221"/>
      <c r="CN35" s="221"/>
      <c r="CO35" s="221"/>
      <c r="CP35" s="221"/>
      <c r="CQ35" s="221">
        <f>SUM(CQ16:CQ34)</f>
        <v>0</v>
      </c>
      <c r="CR35" s="221"/>
      <c r="CS35" s="221"/>
      <c r="CT35" s="223">
        <f>SUM(CT16:CT34)</f>
        <v>1755.92</v>
      </c>
      <c r="CU35" s="223"/>
      <c r="CV35" s="223">
        <f>SUM(CV16:CV34)</f>
        <v>10604.78</v>
      </c>
      <c r="CW35" s="223"/>
      <c r="CX35" s="223">
        <f>SUM(CX16:CX34)</f>
        <v>0</v>
      </c>
      <c r="CY35" s="223"/>
      <c r="CZ35" s="223">
        <f>SUM(CZ16:CZ34)</f>
        <v>6840.9299999999994</v>
      </c>
      <c r="DA35" s="223"/>
      <c r="DB35" s="223">
        <f>SUM(DB16:DB34)</f>
        <v>0</v>
      </c>
      <c r="DC35" s="223"/>
      <c r="DD35" s="223">
        <f>SUM(DD16:DD34)</f>
        <v>86790</v>
      </c>
      <c r="DE35" s="223"/>
      <c r="DF35" s="223">
        <f>SUM(DF16:DF34)</f>
        <v>0</v>
      </c>
      <c r="DG35" s="223"/>
      <c r="DH35" s="223"/>
      <c r="DI35" s="223"/>
      <c r="DJ35" s="223">
        <f>SUM(DJ16:DJ34)</f>
        <v>0</v>
      </c>
      <c r="DK35" s="223"/>
      <c r="DL35" s="223"/>
      <c r="DM35" s="221">
        <f>SUM(DM16:DM34)</f>
        <v>0</v>
      </c>
      <c r="DN35" s="221"/>
      <c r="DO35" s="221">
        <f>SUM(DO16:DO34)</f>
        <v>0</v>
      </c>
      <c r="DP35" s="221"/>
      <c r="DQ35" s="221">
        <f>SUM(DQ16:DQ34)</f>
        <v>0</v>
      </c>
      <c r="DR35" s="221"/>
      <c r="DS35" s="221">
        <f>SUM(DS16:DS34)</f>
        <v>0</v>
      </c>
      <c r="DT35" s="221"/>
      <c r="DU35" s="221">
        <f>SUM(DU16:DU34)</f>
        <v>6892.94</v>
      </c>
      <c r="DV35" s="221"/>
      <c r="DW35" s="221">
        <f>SUM(DW16:DW34)</f>
        <v>88979.27</v>
      </c>
      <c r="DX35" s="221"/>
      <c r="DY35" s="221"/>
      <c r="DZ35" s="221"/>
      <c r="EA35" s="221"/>
      <c r="EB35" s="221"/>
      <c r="EC35" s="221">
        <f>SUM(EC16:EC34)</f>
        <v>0</v>
      </c>
      <c r="ED35" s="221"/>
      <c r="EE35" s="221"/>
      <c r="EF35" s="223">
        <f>SUM(EF16:EF34)</f>
        <v>9334.76</v>
      </c>
      <c r="EG35" s="223"/>
      <c r="EH35" s="223">
        <f>SUM(EH16:EH34)</f>
        <v>27824.21</v>
      </c>
      <c r="EI35" s="223"/>
      <c r="EJ35" s="223">
        <f>SUM(EJ16:EJ34)</f>
        <v>0</v>
      </c>
      <c r="EK35" s="223"/>
      <c r="EL35" s="223">
        <f>SUM(EL16:EL34)</f>
        <v>0</v>
      </c>
      <c r="EM35" s="223"/>
      <c r="EN35" s="223">
        <f>SUM(EN16:EN34)</f>
        <v>9844</v>
      </c>
      <c r="EO35" s="223"/>
      <c r="EP35" s="223">
        <f>SUM(EP16:EP34)</f>
        <v>49818.81</v>
      </c>
      <c r="EQ35" s="223"/>
      <c r="ER35" s="223"/>
      <c r="ES35" s="223"/>
      <c r="ET35" s="223"/>
      <c r="EU35" s="223"/>
      <c r="EV35" s="223">
        <f>SUM(EV16:EV34)</f>
        <v>0</v>
      </c>
      <c r="EW35" s="223"/>
      <c r="EX35" s="223"/>
      <c r="EY35" s="221">
        <f>SUM(EY16:EY34)</f>
        <v>0</v>
      </c>
      <c r="EZ35" s="221"/>
      <c r="FA35" s="221">
        <f>SUM(FA16:FA34)</f>
        <v>10481.94</v>
      </c>
      <c r="FB35" s="221"/>
      <c r="FC35" s="221">
        <f>SUM(FC16:FC34)</f>
        <v>0</v>
      </c>
      <c r="FD35" s="221"/>
      <c r="FE35" s="221">
        <f>SUM(FE16:FE34)</f>
        <v>3128.2000000000003</v>
      </c>
      <c r="FF35" s="221"/>
      <c r="FG35" s="221">
        <f>SUM(FG16:FG34)</f>
        <v>0</v>
      </c>
      <c r="FH35" s="221"/>
      <c r="FI35" s="221">
        <f>SUM(FI16:FI34)</f>
        <v>91439.5</v>
      </c>
      <c r="FJ35" s="221"/>
      <c r="FK35" s="221"/>
      <c r="FL35" s="221"/>
      <c r="FM35" s="221"/>
      <c r="FN35" s="221"/>
      <c r="FO35" s="221">
        <f>SUM(FO16:FO34)</f>
        <v>0</v>
      </c>
      <c r="FP35" s="221"/>
      <c r="FQ35" s="221"/>
      <c r="FR35" s="223">
        <f>SUM(FR16:FR34)</f>
        <v>0</v>
      </c>
      <c r="FS35" s="223"/>
      <c r="FT35" s="223">
        <f>SUM(FT16:FT34)</f>
        <v>6557.15</v>
      </c>
      <c r="FU35" s="223"/>
      <c r="FV35" s="223">
        <f>SUM(FV16:FV34)</f>
        <v>0</v>
      </c>
      <c r="FW35" s="223"/>
      <c r="FX35" s="223">
        <f>SUM(FX16:FX34)</f>
        <v>19407</v>
      </c>
      <c r="FY35" s="223"/>
      <c r="FZ35" s="223">
        <f>SUM(FZ16:FZ34)</f>
        <v>12000</v>
      </c>
      <c r="GA35" s="223"/>
      <c r="GB35" s="223">
        <f>SUM(GB16:GB34)</f>
        <v>69964.149999999994</v>
      </c>
      <c r="GC35" s="223"/>
      <c r="GD35" s="223"/>
      <c r="GE35" s="223"/>
      <c r="GF35" s="223"/>
      <c r="GG35" s="223"/>
      <c r="GH35" s="223">
        <f>SUM(GH16:GH34)</f>
        <v>0</v>
      </c>
      <c r="GI35" s="223"/>
      <c r="GJ35" s="223"/>
      <c r="GK35" s="221">
        <f>SUM(GK16:GK34)</f>
        <v>0</v>
      </c>
      <c r="GL35" s="221"/>
      <c r="GM35" s="221">
        <f>SUM(GM16:GM34)</f>
        <v>17378.72</v>
      </c>
      <c r="GN35" s="221"/>
      <c r="GO35" s="221">
        <f>SUM(GO16:GO34)</f>
        <v>0</v>
      </c>
      <c r="GP35" s="221"/>
      <c r="GQ35" s="221">
        <f>SUM(GQ16:GQ34)</f>
        <v>7802.4400000000005</v>
      </c>
      <c r="GR35" s="221"/>
      <c r="GS35" s="221">
        <f>SUM(GS16:GS34)</f>
        <v>12840</v>
      </c>
      <c r="GT35" s="221"/>
      <c r="GU35" s="221">
        <f>SUM(GU16:GU34)</f>
        <v>49985.84</v>
      </c>
      <c r="GV35" s="221"/>
      <c r="GW35" s="221">
        <f>SUM(GW16:GW34)</f>
        <v>33000</v>
      </c>
      <c r="GX35" s="221"/>
      <c r="GY35" s="221"/>
      <c r="GZ35" s="221"/>
      <c r="HA35" s="221">
        <f>SUM(HA16:HA34)</f>
        <v>0</v>
      </c>
      <c r="HB35" s="221"/>
      <c r="HC35" s="221"/>
      <c r="HD35" s="223">
        <f>SUM(HD16:HD34)</f>
        <v>4185</v>
      </c>
      <c r="HE35" s="223"/>
      <c r="HF35" s="223">
        <f>SUM(HF16:HF34)</f>
        <v>31615.96</v>
      </c>
      <c r="HG35" s="223"/>
      <c r="HH35" s="223">
        <f>SUM(HH16:HH34)</f>
        <v>0</v>
      </c>
      <c r="HI35" s="223"/>
      <c r="HJ35" s="223">
        <f>SUM(HJ16:HJ34)</f>
        <v>3317</v>
      </c>
      <c r="HK35" s="223"/>
      <c r="HL35" s="223">
        <f>SUM(HL16:HL34)</f>
        <v>3424</v>
      </c>
      <c r="HM35" s="223"/>
      <c r="HN35" s="223">
        <f>SUM(HN16:HN34)</f>
        <v>49996.97</v>
      </c>
      <c r="HO35" s="223"/>
      <c r="HP35" s="223">
        <f>SUM(HP16:HP34)</f>
        <v>31500</v>
      </c>
      <c r="HQ35" s="223"/>
      <c r="HR35" s="223"/>
      <c r="HS35" s="223"/>
      <c r="HT35" s="223">
        <f>SUM(HT16:HT34)</f>
        <v>0</v>
      </c>
      <c r="HU35" s="223"/>
      <c r="HV35" s="223"/>
      <c r="HW35" s="221">
        <f>SUM(HW16:HW34)</f>
        <v>0</v>
      </c>
      <c r="HX35" s="221"/>
      <c r="HY35" s="221">
        <f>SUM(HY16:HY34)</f>
        <v>19080.96</v>
      </c>
      <c r="HZ35" s="221"/>
      <c r="IA35" s="221">
        <f>SUM(IA16:IA34)</f>
        <v>0</v>
      </c>
      <c r="IB35" s="221"/>
      <c r="IC35" s="221">
        <f>SUM(IC16:IC34)</f>
        <v>0</v>
      </c>
      <c r="ID35" s="221"/>
      <c r="IE35" s="221">
        <f>SUM(IE16:IE34)</f>
        <v>2956.2</v>
      </c>
      <c r="IF35" s="221"/>
      <c r="IG35" s="221">
        <f>SUM(IG16:IG34)</f>
        <v>49418.58</v>
      </c>
      <c r="IH35" s="221"/>
      <c r="II35" s="221"/>
      <c r="IJ35" s="221"/>
      <c r="IK35" s="221"/>
      <c r="IL35" s="221"/>
      <c r="IM35" s="221">
        <f>SUM(IM16:IM34)</f>
        <v>0</v>
      </c>
      <c r="IN35" s="221"/>
      <c r="IO35" s="221"/>
      <c r="IP35" s="223">
        <f>SUM(IP16:IP34)</f>
        <v>720</v>
      </c>
      <c r="IQ35" s="223"/>
      <c r="IR35" s="223">
        <f>SUM(IR16:IR34)</f>
        <v>32029.35</v>
      </c>
      <c r="IS35" s="223"/>
      <c r="IT35" s="223">
        <v>0</v>
      </c>
      <c r="IU35" s="223"/>
      <c r="IV35" s="223">
        <f>SUM(IV16:IV34)</f>
        <v>609.9</v>
      </c>
      <c r="IW35" s="223"/>
      <c r="IX35" s="223">
        <f>SUM(IX16:IX34)</f>
        <v>8346</v>
      </c>
      <c r="IY35" s="223"/>
      <c r="IZ35" s="223">
        <f>SUM(IZ16:IZ34)</f>
        <v>48820.520000000004</v>
      </c>
      <c r="JA35" s="223"/>
      <c r="JB35" s="223"/>
      <c r="JC35" s="223"/>
      <c r="JD35" s="223"/>
      <c r="JE35" s="223"/>
      <c r="JF35" s="223">
        <v>0</v>
      </c>
      <c r="JG35" s="223"/>
      <c r="JH35" s="223"/>
      <c r="JI35" s="82">
        <f>SUM(JI16:JI34)</f>
        <v>202</v>
      </c>
      <c r="JJ35" s="82"/>
      <c r="JK35" s="82">
        <f>SUM(JK16:JK34)</f>
        <v>10935.86</v>
      </c>
      <c r="JL35" s="82"/>
      <c r="JM35" s="82">
        <f>SUM(JM16:JM34)</f>
        <v>0</v>
      </c>
      <c r="JN35" s="82"/>
      <c r="JO35" s="82">
        <f>SUM(JO16:JO34)</f>
        <v>406.6</v>
      </c>
      <c r="JP35" s="82"/>
      <c r="JQ35" s="82">
        <f>SUM(JQ16:JQ34)</f>
        <v>0</v>
      </c>
      <c r="JR35" s="82"/>
      <c r="JS35" s="82">
        <f>SUM(JS16:JS34)</f>
        <v>79698.02</v>
      </c>
      <c r="JT35" s="82"/>
      <c r="JU35" s="82">
        <f>SUM(JU16:JU34)</f>
        <v>17500</v>
      </c>
      <c r="JV35" s="82"/>
      <c r="JW35" s="82"/>
      <c r="JX35" s="82"/>
      <c r="JY35" s="82">
        <f>SUM(JY16:JY34)</f>
        <v>0</v>
      </c>
      <c r="JZ35" s="82"/>
      <c r="KA35" s="82"/>
      <c r="KB35" s="223">
        <f>SUM(KB16:KB34)</f>
        <v>0</v>
      </c>
      <c r="KC35" s="223"/>
      <c r="KD35" s="223">
        <f>SUM(KD16:KD34)</f>
        <v>5082.12</v>
      </c>
      <c r="KE35" s="223"/>
      <c r="KF35" s="223">
        <f>SUM(KF16:KF34)</f>
        <v>0</v>
      </c>
      <c r="KG35" s="223"/>
      <c r="KH35" s="223">
        <f>SUM(KH16:KH34)</f>
        <v>428</v>
      </c>
      <c r="KI35" s="223"/>
      <c r="KJ35" s="223">
        <f>SUM(KJ16:KJ34)</f>
        <v>0</v>
      </c>
      <c r="KK35" s="223"/>
      <c r="KL35" s="223">
        <f>SUM(KL16:KL34)</f>
        <v>103489.76000000001</v>
      </c>
      <c r="KM35" s="223"/>
      <c r="KN35" s="223"/>
      <c r="KO35" s="223"/>
      <c r="KP35" s="223"/>
      <c r="KQ35" s="223"/>
      <c r="KR35" s="223">
        <f>SUM(KR16:KR34)</f>
        <v>0</v>
      </c>
      <c r="KS35" s="223"/>
      <c r="KT35" s="221">
        <f>SUM(KT16:KT34)</f>
        <v>0</v>
      </c>
      <c r="KU35" s="221"/>
      <c r="KV35" s="221">
        <f>SUM(KV16:KV34)</f>
        <v>0</v>
      </c>
      <c r="KW35" s="221"/>
      <c r="KX35" s="221">
        <f>SUM(KX16:KX34)</f>
        <v>0</v>
      </c>
      <c r="KY35" s="221"/>
      <c r="KZ35" s="221">
        <f>SUM(KZ16:KZ34)</f>
        <v>0</v>
      </c>
      <c r="LA35" s="221"/>
      <c r="LB35" s="221"/>
      <c r="LC35" s="221"/>
      <c r="LD35" s="221"/>
      <c r="LE35" s="221"/>
      <c r="LF35" s="221"/>
      <c r="LG35" s="221"/>
      <c r="LH35" s="221"/>
      <c r="LI35" s="221"/>
      <c r="LJ35" s="221">
        <f>SUM(LJ16:LJ34)</f>
        <v>0</v>
      </c>
      <c r="LK35" s="221"/>
      <c r="LL35" s="221">
        <f>SUM(LL16:LL34)</f>
        <v>0</v>
      </c>
      <c r="LM35" s="221"/>
      <c r="LN35" s="221">
        <f>SUM(LN16:LN34)</f>
        <v>0</v>
      </c>
      <c r="LO35" s="221"/>
      <c r="LP35" s="221">
        <f>SUM(LP16:LP34)</f>
        <v>0</v>
      </c>
      <c r="LQ35" s="221"/>
      <c r="LR35" s="221">
        <f>SUM(LR16:LR34)</f>
        <v>0</v>
      </c>
      <c r="LS35" s="221"/>
      <c r="LT35" s="221"/>
      <c r="LU35" s="221"/>
      <c r="LV35" s="221"/>
      <c r="LW35" s="221"/>
      <c r="LX35" s="221"/>
      <c r="LY35" s="221"/>
      <c r="LZ35" s="221"/>
      <c r="MA35" s="221"/>
      <c r="MB35" s="221">
        <f>SUM(MB16:MB34)</f>
        <v>0</v>
      </c>
      <c r="MC35" s="221"/>
      <c r="MD35" s="82" t="e">
        <f>SUM(MD16:MD34)</f>
        <v>#VALUE!</v>
      </c>
    </row>
    <row r="36" spans="2:343" s="71" customFormat="1" ht="24.75" hidden="1" customHeight="1">
      <c r="B36" s="21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  <c r="DG36" s="223"/>
      <c r="DH36" s="223"/>
      <c r="DI36" s="223"/>
      <c r="DJ36" s="223"/>
      <c r="DK36" s="223"/>
      <c r="DL36" s="223"/>
      <c r="DM36" s="221"/>
      <c r="DN36" s="221"/>
      <c r="DO36" s="221"/>
      <c r="DP36" s="221"/>
      <c r="DQ36" s="221"/>
      <c r="DR36" s="221"/>
      <c r="DS36" s="221"/>
      <c r="DT36" s="221"/>
      <c r="DU36" s="221"/>
      <c r="DV36" s="221"/>
      <c r="DW36" s="221"/>
      <c r="DX36" s="221"/>
      <c r="DY36" s="221"/>
      <c r="DZ36" s="221"/>
      <c r="EA36" s="221"/>
      <c r="EB36" s="221"/>
      <c r="EC36" s="221"/>
      <c r="ED36" s="221"/>
      <c r="EE36" s="221"/>
      <c r="EF36" s="223"/>
      <c r="EG36" s="223"/>
      <c r="EH36" s="223"/>
      <c r="EI36" s="223"/>
      <c r="EJ36" s="223"/>
      <c r="EK36" s="223"/>
      <c r="EL36" s="223"/>
      <c r="EM36" s="223"/>
      <c r="EN36" s="223"/>
      <c r="EO36" s="223"/>
      <c r="EP36" s="223"/>
      <c r="EQ36" s="223"/>
      <c r="ER36" s="223"/>
      <c r="ES36" s="223"/>
      <c r="ET36" s="223"/>
      <c r="EU36" s="223"/>
      <c r="EV36" s="223"/>
      <c r="EW36" s="223"/>
      <c r="EX36" s="223"/>
      <c r="EY36" s="221"/>
      <c r="EZ36" s="221"/>
      <c r="FA36" s="221"/>
      <c r="FB36" s="221"/>
      <c r="FC36" s="221"/>
      <c r="FD36" s="221"/>
      <c r="FE36" s="221"/>
      <c r="FF36" s="221"/>
      <c r="FG36" s="221"/>
      <c r="FH36" s="221"/>
      <c r="FI36" s="221"/>
      <c r="FJ36" s="221"/>
      <c r="FK36" s="221"/>
      <c r="FL36" s="221"/>
      <c r="FM36" s="221"/>
      <c r="FN36" s="221"/>
      <c r="FO36" s="221"/>
      <c r="FP36" s="221"/>
      <c r="FQ36" s="221"/>
      <c r="FR36" s="223"/>
      <c r="FS36" s="223"/>
      <c r="FT36" s="223"/>
      <c r="FU36" s="223"/>
      <c r="FV36" s="223"/>
      <c r="FW36" s="223"/>
      <c r="FX36" s="223"/>
      <c r="FY36" s="223"/>
      <c r="FZ36" s="223"/>
      <c r="GA36" s="223"/>
      <c r="GB36" s="223"/>
      <c r="GC36" s="223"/>
      <c r="GD36" s="223"/>
      <c r="GE36" s="223"/>
      <c r="GF36" s="223"/>
      <c r="GG36" s="223"/>
      <c r="GH36" s="223"/>
      <c r="GI36" s="223"/>
      <c r="GJ36" s="223"/>
      <c r="GK36" s="221"/>
      <c r="GL36" s="221"/>
      <c r="GM36" s="221"/>
      <c r="GN36" s="221"/>
      <c r="GO36" s="221"/>
      <c r="GP36" s="221"/>
      <c r="GQ36" s="221"/>
      <c r="GR36" s="221"/>
      <c r="GS36" s="221"/>
      <c r="GT36" s="221"/>
      <c r="GU36" s="221"/>
      <c r="GV36" s="221"/>
      <c r="GW36" s="221"/>
      <c r="GX36" s="221"/>
      <c r="GY36" s="221"/>
      <c r="GZ36" s="221"/>
      <c r="HA36" s="221"/>
      <c r="HB36" s="221"/>
      <c r="HC36" s="221"/>
      <c r="HD36" s="223"/>
      <c r="HE36" s="223"/>
      <c r="HF36" s="223"/>
      <c r="HG36" s="223"/>
      <c r="HH36" s="223"/>
      <c r="HI36" s="223"/>
      <c r="HJ36" s="223"/>
      <c r="HK36" s="223"/>
      <c r="HL36" s="223"/>
      <c r="HM36" s="223"/>
      <c r="HN36" s="223"/>
      <c r="HO36" s="223"/>
      <c r="HP36" s="223"/>
      <c r="HQ36" s="223"/>
      <c r="HR36" s="223"/>
      <c r="HS36" s="223"/>
      <c r="HT36" s="223"/>
      <c r="HU36" s="223"/>
      <c r="HV36" s="223"/>
      <c r="HW36" s="221"/>
      <c r="HX36" s="221"/>
      <c r="HY36" s="221"/>
      <c r="HZ36" s="221"/>
      <c r="IA36" s="221"/>
      <c r="IB36" s="221"/>
      <c r="IC36" s="221"/>
      <c r="ID36" s="221"/>
      <c r="IE36" s="221"/>
      <c r="IF36" s="221"/>
      <c r="IG36" s="221"/>
      <c r="IH36" s="221"/>
      <c r="II36" s="221"/>
      <c r="IJ36" s="221"/>
      <c r="IK36" s="221"/>
      <c r="IL36" s="221"/>
      <c r="IM36" s="221"/>
      <c r="IN36" s="221"/>
      <c r="IO36" s="221"/>
      <c r="IP36" s="223"/>
      <c r="IQ36" s="223"/>
      <c r="IR36" s="223"/>
      <c r="IS36" s="223"/>
      <c r="IT36" s="223"/>
      <c r="IU36" s="223"/>
      <c r="IV36" s="223"/>
      <c r="IW36" s="223"/>
      <c r="IX36" s="223"/>
      <c r="IY36" s="223"/>
      <c r="IZ36" s="223"/>
      <c r="JA36" s="223"/>
      <c r="JB36" s="223"/>
      <c r="JC36" s="223"/>
      <c r="JD36" s="223"/>
      <c r="JE36" s="223"/>
      <c r="JF36" s="223"/>
      <c r="JG36" s="223"/>
      <c r="JH36" s="223"/>
      <c r="JI36" s="82"/>
      <c r="JJ36" s="82"/>
      <c r="JK36" s="82"/>
      <c r="JL36" s="82"/>
      <c r="JM36" s="82"/>
      <c r="JN36" s="82"/>
      <c r="JO36" s="82"/>
      <c r="JP36" s="82"/>
      <c r="JQ36" s="82"/>
      <c r="JR36" s="82"/>
      <c r="JS36" s="82"/>
      <c r="JT36" s="82"/>
      <c r="JU36" s="82"/>
      <c r="JV36" s="82"/>
      <c r="JW36" s="82"/>
      <c r="JX36" s="82"/>
      <c r="JY36" s="82"/>
      <c r="JZ36" s="82"/>
      <c r="KA36" s="82"/>
      <c r="KB36" s="223"/>
      <c r="KC36" s="223"/>
      <c r="KD36" s="223"/>
      <c r="KE36" s="223"/>
      <c r="KF36" s="223"/>
      <c r="KG36" s="223"/>
      <c r="KH36" s="223"/>
      <c r="KI36" s="223"/>
      <c r="KJ36" s="223"/>
      <c r="KK36" s="223"/>
      <c r="KL36" s="223"/>
      <c r="KM36" s="223"/>
      <c r="KN36" s="223"/>
      <c r="KO36" s="223"/>
      <c r="KP36" s="223"/>
      <c r="KQ36" s="223"/>
      <c r="KR36" s="223"/>
      <c r="KS36" s="223"/>
      <c r="KT36" s="221"/>
      <c r="KU36" s="221"/>
      <c r="KV36" s="221"/>
      <c r="KW36" s="221"/>
      <c r="KX36" s="221"/>
      <c r="KY36" s="221"/>
      <c r="KZ36" s="221"/>
      <c r="LA36" s="221"/>
      <c r="LB36" s="221"/>
      <c r="LC36" s="221"/>
      <c r="LD36" s="221"/>
      <c r="LE36" s="221"/>
      <c r="LF36" s="221"/>
      <c r="LG36" s="221"/>
      <c r="LH36" s="221"/>
      <c r="LI36" s="221"/>
      <c r="LJ36" s="221"/>
      <c r="LK36" s="221"/>
      <c r="LL36" s="221"/>
      <c r="LM36" s="221"/>
      <c r="LN36" s="221"/>
      <c r="LO36" s="221"/>
      <c r="LP36" s="221"/>
      <c r="LQ36" s="221"/>
      <c r="LR36" s="221"/>
      <c r="LS36" s="221"/>
      <c r="LT36" s="221"/>
      <c r="LU36" s="221"/>
      <c r="LV36" s="221"/>
      <c r="LW36" s="221"/>
      <c r="LX36" s="221"/>
      <c r="LY36" s="221"/>
      <c r="LZ36" s="221"/>
      <c r="MA36" s="221"/>
      <c r="MB36" s="221"/>
      <c r="MC36" s="221"/>
      <c r="MD36" s="82"/>
    </row>
    <row r="39" spans="2:343" s="189" customFormat="1" ht="21">
      <c r="B39" s="204" t="s">
        <v>85</v>
      </c>
      <c r="C39" s="93" t="s">
        <v>989</v>
      </c>
      <c r="D39" s="93" t="s">
        <v>987</v>
      </c>
      <c r="E39" s="93" t="s">
        <v>990</v>
      </c>
      <c r="F39" s="93" t="s">
        <v>991</v>
      </c>
      <c r="G39" s="93" t="s">
        <v>992</v>
      </c>
      <c r="H39" s="93" t="s">
        <v>993</v>
      </c>
      <c r="I39" s="93" t="s">
        <v>994</v>
      </c>
      <c r="J39" s="93" t="s">
        <v>995</v>
      </c>
      <c r="K39" s="93" t="s">
        <v>1019</v>
      </c>
      <c r="L39" s="93" t="s">
        <v>997</v>
      </c>
      <c r="M39" s="93" t="s">
        <v>66</v>
      </c>
      <c r="N39" s="93" t="s">
        <v>238</v>
      </c>
      <c r="O39" s="93" t="s">
        <v>66</v>
      </c>
      <c r="P39" s="93" t="s">
        <v>999</v>
      </c>
      <c r="Q39" s="93" t="s">
        <v>66</v>
      </c>
    </row>
    <row r="40" spans="2:343" s="189" customFormat="1" ht="21">
      <c r="B40" s="204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251">
        <f>12000+3800</f>
        <v>15800</v>
      </c>
      <c r="O40" s="93"/>
      <c r="P40" s="93"/>
      <c r="Q40" s="93"/>
    </row>
    <row r="41" spans="2:343" s="71" customFormat="1" ht="21">
      <c r="B41" s="211">
        <v>242858</v>
      </c>
      <c r="C41" s="82">
        <f>+E8+AQ7+BJ7+EH7+GM7+IR7+JK7</f>
        <v>85634.010000000009</v>
      </c>
      <c r="D41" s="82">
        <f>+AO7+BH7+EF7+EF8</f>
        <v>6124.64</v>
      </c>
      <c r="E41" s="82">
        <v>0</v>
      </c>
      <c r="F41" s="82">
        <f>+AU7+AU8+BN7+BN8+GQ7+GQ8+GQ9+IV7</f>
        <v>5512.31</v>
      </c>
      <c r="G41" s="82">
        <f>+AW7+EN7+EN8+GS7+IX7</f>
        <v>10154.299999999999</v>
      </c>
      <c r="H41" s="82">
        <f>+JS7</f>
        <v>12000</v>
      </c>
      <c r="I41" s="82">
        <v>22500</v>
      </c>
      <c r="J41" s="82">
        <v>0</v>
      </c>
      <c r="K41" s="82">
        <v>0</v>
      </c>
      <c r="L41" s="82">
        <v>0</v>
      </c>
      <c r="M41" s="82">
        <f>SUM(C41:L41)</f>
        <v>141925.26</v>
      </c>
      <c r="N41" s="82">
        <v>3800</v>
      </c>
      <c r="O41" s="82">
        <f t="shared" ref="O41:O49" si="8">M41+N41</f>
        <v>145725.26</v>
      </c>
      <c r="P41" s="79">
        <v>0</v>
      </c>
      <c r="Q41" s="238">
        <f>O41+P41</f>
        <v>145725.26</v>
      </c>
    </row>
    <row r="42" spans="2:343" s="71" customFormat="1" ht="21">
      <c r="B42" s="211">
        <v>242889</v>
      </c>
      <c r="C42" s="82">
        <f>+E10+X10+AQ10+BJ10+CV10+FA10+FT10+GM10+IR10+JK10</f>
        <v>51819.95</v>
      </c>
      <c r="D42" s="82">
        <f>+C10+CT10+CT11+IP10+JI10</f>
        <v>1152.48</v>
      </c>
      <c r="E42" s="82"/>
      <c r="F42" s="82">
        <f>+I10+AB10+AU10+AU11+BN10+BN11+BN12+CZ10+FE10+FE11+JO10+GQ10</f>
        <v>7274.75</v>
      </c>
      <c r="G42" s="82">
        <f>+K10+AD10+AW10+GS10</f>
        <v>4999.97</v>
      </c>
      <c r="H42" s="82">
        <f>+DD10+JS10</f>
        <v>17500</v>
      </c>
      <c r="I42" s="82">
        <f>+BA10+BT10+BT11+FK10+GD10+JU10+KN10</f>
        <v>23500</v>
      </c>
      <c r="J42" s="82">
        <f>+BC10+JD10</f>
        <v>15360</v>
      </c>
      <c r="K42" s="82"/>
      <c r="L42" s="82"/>
      <c r="M42" s="82">
        <f t="shared" ref="M42:M47" si="9">SUM(C42:L42)</f>
        <v>121607.15</v>
      </c>
      <c r="N42" s="82">
        <v>3800</v>
      </c>
      <c r="O42" s="82">
        <f t="shared" si="8"/>
        <v>125407.15</v>
      </c>
      <c r="P42" s="238">
        <f>DW10+DD11</f>
        <v>68290</v>
      </c>
      <c r="Q42" s="238">
        <f>O42+P42</f>
        <v>193697.15</v>
      </c>
    </row>
    <row r="43" spans="2:343" s="71" customFormat="1" ht="21">
      <c r="B43" s="211">
        <v>23774</v>
      </c>
      <c r="C43" s="82">
        <f>+X13+AQ13+BJ13+CV13+FA13+FT13+GM13+HF13+HF14+IR13+JK13</f>
        <v>31712.239999999998</v>
      </c>
      <c r="D43" s="82">
        <f>+V13+AO13+BH13+HD13</f>
        <v>2099.44</v>
      </c>
      <c r="E43" s="82">
        <v>0</v>
      </c>
      <c r="F43" s="82">
        <f>+I13+AB13+AU13+BN13+FE13+FE14+FX13+GQ13+FX14+GQ14+GQ15+HJ13+HJ14+IV13</f>
        <v>18173.28</v>
      </c>
      <c r="G43" s="82">
        <f>+AD13+AW13+AW14+GS13+IX13</f>
        <v>6499.18</v>
      </c>
      <c r="H43" s="82">
        <f>+BR13+BR14+FI13+FZ13+JS13</f>
        <v>43800</v>
      </c>
      <c r="I43" s="82">
        <f>+BA13+FK13+GD13+HP13+HP14+JU13+KN13</f>
        <v>25000</v>
      </c>
      <c r="J43" s="82">
        <f>+BC13+FM13+JD13</f>
        <v>15040</v>
      </c>
      <c r="K43" s="82">
        <v>0</v>
      </c>
      <c r="L43" s="82">
        <v>0</v>
      </c>
      <c r="M43" s="82">
        <f t="shared" si="9"/>
        <v>142324.14000000001</v>
      </c>
      <c r="N43" s="82">
        <v>3800</v>
      </c>
      <c r="O43" s="82">
        <f t="shared" si="8"/>
        <v>146124.14000000001</v>
      </c>
      <c r="P43" s="238">
        <f>DY13</f>
        <v>7532.8</v>
      </c>
      <c r="Q43" s="238">
        <f>O43+P43</f>
        <v>153656.94</v>
      </c>
    </row>
    <row r="44" spans="2:343" s="71" customFormat="1" ht="21">
      <c r="B44" s="211">
        <v>242948</v>
      </c>
      <c r="C44" s="82">
        <f>+AQ16+CV16+FA16+HF16+HY16+IR16+JK16</f>
        <v>23334.019999999997</v>
      </c>
      <c r="D44" s="82">
        <f>+V16+CT16+EF16+IP16</f>
        <v>2872.21</v>
      </c>
      <c r="E44" s="82">
        <v>0</v>
      </c>
      <c r="F44" s="82">
        <f>+AB16+AB18+AB17+AU16+CZ16+CZ17+FE16+FX16+HJ16+IV16</f>
        <v>10117.01</v>
      </c>
      <c r="G44" s="82">
        <f>+AD17+AW16+AW17+EN16+EN17+IE16+IE17+HL16</f>
        <v>7656.2800000000007</v>
      </c>
      <c r="H44" s="82">
        <f>+GB16+DU16</f>
        <v>13446.47</v>
      </c>
      <c r="I44" s="82">
        <f>+BA16+FK16+GD16+GW16+GW17+GW18+HP16+HP17+KN16+JU16</f>
        <v>27000</v>
      </c>
      <c r="J44" s="82">
        <f>+BC16</f>
        <v>7360</v>
      </c>
      <c r="K44" s="82">
        <v>0</v>
      </c>
      <c r="L44" s="82">
        <v>0</v>
      </c>
      <c r="M44" s="82">
        <f t="shared" si="9"/>
        <v>91785.989999999991</v>
      </c>
      <c r="N44" s="82">
        <v>3800</v>
      </c>
      <c r="O44" s="82">
        <f t="shared" si="8"/>
        <v>95585.989999999991</v>
      </c>
      <c r="P44" s="82">
        <f>CK16</f>
        <v>0</v>
      </c>
      <c r="Q44" s="238">
        <f>O44+P44</f>
        <v>95585.989999999991</v>
      </c>
      <c r="S44" s="188">
        <f>95585.99-Q44</f>
        <v>0</v>
      </c>
    </row>
    <row r="45" spans="2:343" s="71" customFormat="1" ht="21">
      <c r="B45" s="211">
        <v>242979</v>
      </c>
      <c r="C45" s="82">
        <f>+X19+HF19+IR19+KD19</f>
        <v>13020.039999999999</v>
      </c>
      <c r="D45" s="82">
        <f>+C19+HD19+CT19</f>
        <v>1312.76</v>
      </c>
      <c r="E45" s="82">
        <v>0</v>
      </c>
      <c r="F45" s="82">
        <f>+I19+AB19+AU19+BN19+CZ19+HJ19+KH19+CZ20</f>
        <v>3341.8799999999997</v>
      </c>
      <c r="G45" s="82">
        <f>+HL19+IX19</f>
        <v>2247</v>
      </c>
      <c r="H45" s="82">
        <f>+FI19</f>
        <v>5000</v>
      </c>
      <c r="I45" s="82">
        <f>+FK19+HP19+HP20+JU19+KN19+KN20+GW19</f>
        <v>17500</v>
      </c>
      <c r="J45" s="82">
        <f>+IK19+IK20</f>
        <v>32000</v>
      </c>
      <c r="K45" s="82"/>
      <c r="L45" s="82"/>
      <c r="M45" s="82">
        <f t="shared" si="9"/>
        <v>74421.679999999993</v>
      </c>
      <c r="N45" s="82">
        <v>3800</v>
      </c>
      <c r="O45" s="82">
        <f t="shared" si="8"/>
        <v>78221.679999999993</v>
      </c>
      <c r="P45" s="238">
        <f>+CK19+CK20+AF19+KL20+KL21+KL22+AH19</f>
        <v>107344.9</v>
      </c>
      <c r="Q45" s="238">
        <f>O45+P45</f>
        <v>185566.58</v>
      </c>
    </row>
    <row r="46" spans="2:343" s="71" customFormat="1" ht="21">
      <c r="B46" s="211">
        <v>243009</v>
      </c>
      <c r="C46" s="82">
        <f>+GM21+HF21+JK21</f>
        <v>8761.39</v>
      </c>
      <c r="D46" s="82">
        <f>+HD21</f>
        <v>665</v>
      </c>
      <c r="E46" s="82">
        <v>0</v>
      </c>
      <c r="F46" s="82">
        <f>FE21+GQ21+GQ22</f>
        <v>689.08</v>
      </c>
      <c r="G46" s="82">
        <f>GS21+GS23</f>
        <v>3210</v>
      </c>
      <c r="H46" s="82">
        <v>0</v>
      </c>
      <c r="I46" s="82">
        <f>+GW21+HP21+HP22</f>
        <v>6500</v>
      </c>
      <c r="J46" s="82">
        <v>0</v>
      </c>
      <c r="K46" s="82"/>
      <c r="L46" s="82"/>
      <c r="M46" s="82">
        <f t="shared" si="9"/>
        <v>19825.47</v>
      </c>
      <c r="N46" s="82">
        <v>3800</v>
      </c>
      <c r="O46" s="82">
        <f t="shared" si="8"/>
        <v>23625.47</v>
      </c>
      <c r="P46" s="238"/>
      <c r="Q46" s="238">
        <f>SUM(O46:P46)</f>
        <v>23625.47</v>
      </c>
      <c r="S46" s="188">
        <f>O46-[5]พ.ค.65!$B$25</f>
        <v>0</v>
      </c>
    </row>
    <row r="47" spans="2:343" s="71" customFormat="1" ht="21">
      <c r="B47" s="211">
        <v>243040</v>
      </c>
      <c r="C47" s="82">
        <f>+E23+BJ23+CV23+GM23+IR23</f>
        <v>0</v>
      </c>
      <c r="D47" s="82">
        <f>+C23+BH23+IP23</f>
        <v>0</v>
      </c>
      <c r="E47" s="82">
        <v>0</v>
      </c>
      <c r="F47" s="82"/>
      <c r="G47" s="188">
        <f>+GS23+IX23</f>
        <v>0</v>
      </c>
      <c r="H47" s="82">
        <f>+DD23</f>
        <v>0</v>
      </c>
      <c r="I47" s="82">
        <f>AH21</f>
        <v>2990</v>
      </c>
      <c r="J47" s="82">
        <f>IK21</f>
        <v>6400</v>
      </c>
      <c r="K47" s="82"/>
      <c r="L47" s="82"/>
      <c r="M47" s="82">
        <f t="shared" si="9"/>
        <v>9390</v>
      </c>
      <c r="N47" s="82">
        <v>3800</v>
      </c>
      <c r="O47" s="82">
        <f t="shared" si="8"/>
        <v>13190</v>
      </c>
      <c r="P47" s="238">
        <v>0</v>
      </c>
      <c r="Q47" s="238">
        <f>SUM(O47:P47)</f>
        <v>13190</v>
      </c>
    </row>
    <row r="48" spans="2:343" s="71" customFormat="1" ht="21">
      <c r="B48" s="211">
        <v>243070</v>
      </c>
      <c r="C48" s="82">
        <f>+AQ25+CV25+EH25+FT25+GM25+HY25+KD25+EH26</f>
        <v>0</v>
      </c>
      <c r="D48" s="82">
        <f>+CT25+EF25+EF26</f>
        <v>0</v>
      </c>
      <c r="E48" s="82">
        <v>0</v>
      </c>
      <c r="F48" s="82">
        <f>+AU25+CZ25+EL25+FE25+FX25+FX26+GQ25+KH25</f>
        <v>0</v>
      </c>
      <c r="G48" s="82">
        <f>+AW25+EN25+EN26+IE25</f>
        <v>0</v>
      </c>
      <c r="H48" s="82">
        <f>+DD25+DD26+GB25</f>
        <v>0</v>
      </c>
      <c r="I48" s="82">
        <f>+GD25+KN25</f>
        <v>0</v>
      </c>
      <c r="J48" s="82">
        <v>0</v>
      </c>
      <c r="K48" s="82">
        <v>0</v>
      </c>
      <c r="L48" s="82">
        <v>0</v>
      </c>
      <c r="M48" s="82">
        <f>SUM(C48:L48)</f>
        <v>0</v>
      </c>
      <c r="N48" s="82"/>
      <c r="O48" s="82">
        <f t="shared" si="8"/>
        <v>0</v>
      </c>
      <c r="P48" s="238">
        <f>+AY25+DW25+DW26+FI25+FI26+IG25</f>
        <v>0</v>
      </c>
      <c r="Q48" s="238">
        <f t="shared" ref="Q48:Q53" si="10">SUM(O48:P48)-N48</f>
        <v>0</v>
      </c>
    </row>
    <row r="49" spans="2:17" s="71" customFormat="1" ht="21">
      <c r="B49" s="211">
        <v>243101</v>
      </c>
      <c r="C49" s="82">
        <f>+BJ27+HF27</f>
        <v>0</v>
      </c>
      <c r="D49" s="82">
        <f>+BH27+EF27+IP27</f>
        <v>0</v>
      </c>
      <c r="E49" s="82"/>
      <c r="F49" s="82" t="e">
        <f>+BN27+BN28+#REF!+#REF!+EL27+FE27+HJ27+IV27+FX27</f>
        <v>#REF!</v>
      </c>
      <c r="G49" s="82">
        <f>+EN27+EN28+HL27</f>
        <v>0</v>
      </c>
      <c r="H49" s="82">
        <f>+HN27</f>
        <v>0</v>
      </c>
      <c r="I49" s="82" t="e">
        <f>+BT27+GD27+BT28+HP27+HP28+#REF!+#REF!+KN27</f>
        <v>#REF!</v>
      </c>
      <c r="J49" s="82"/>
      <c r="K49" s="82"/>
      <c r="L49" s="82"/>
      <c r="M49" s="82" t="e">
        <f>SUM(C49:L49)</f>
        <v>#REF!</v>
      </c>
      <c r="N49" s="82"/>
      <c r="O49" s="82" t="e">
        <f t="shared" si="8"/>
        <v>#REF!</v>
      </c>
      <c r="P49" s="238">
        <f>+HN28+JU27+KL27+KL28</f>
        <v>0</v>
      </c>
      <c r="Q49" s="238" t="e">
        <f t="shared" si="10"/>
        <v>#REF!</v>
      </c>
    </row>
    <row r="50" spans="2:17" s="71" customFormat="1" ht="21">
      <c r="B50" s="211">
        <v>243132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79"/>
      <c r="Q50" s="238">
        <f t="shared" si="10"/>
        <v>0</v>
      </c>
    </row>
    <row r="51" spans="2:17" s="71" customFormat="1" ht="21">
      <c r="B51" s="211">
        <v>243162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238">
        <f t="shared" si="10"/>
        <v>0</v>
      </c>
    </row>
    <row r="52" spans="2:17" s="71" customFormat="1" ht="21">
      <c r="B52" s="211" t="s">
        <v>78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79"/>
      <c r="Q52" s="238">
        <f t="shared" si="10"/>
        <v>0</v>
      </c>
    </row>
    <row r="53" spans="2:17" s="71" customFormat="1" ht="21">
      <c r="B53" s="211" t="s">
        <v>66</v>
      </c>
      <c r="C53" s="82">
        <f t="shared" ref="C53:K53" si="11">SUM(C41:C52)</f>
        <v>214281.65000000002</v>
      </c>
      <c r="D53" s="82">
        <f t="shared" si="11"/>
        <v>14226.53</v>
      </c>
      <c r="E53" s="82">
        <f t="shared" si="11"/>
        <v>0</v>
      </c>
      <c r="F53" s="82" t="e">
        <f t="shared" si="11"/>
        <v>#REF!</v>
      </c>
      <c r="G53" s="82">
        <f t="shared" si="11"/>
        <v>34766.730000000003</v>
      </c>
      <c r="H53" s="82">
        <f t="shared" si="11"/>
        <v>91746.47</v>
      </c>
      <c r="I53" s="82" t="e">
        <f t="shared" si="11"/>
        <v>#REF!</v>
      </c>
      <c r="J53" s="82">
        <f t="shared" si="11"/>
        <v>76160</v>
      </c>
      <c r="K53" s="82">
        <f t="shared" si="11"/>
        <v>0</v>
      </c>
      <c r="L53" s="82">
        <f>SUM(L41:L52)</f>
        <v>0</v>
      </c>
      <c r="M53" s="82" t="e">
        <f>SUM(C53:L53)</f>
        <v>#REF!</v>
      </c>
      <c r="N53" s="82">
        <f>SUM(N40:N52)</f>
        <v>42400</v>
      </c>
      <c r="O53" s="82" t="e">
        <f>M53+N53</f>
        <v>#REF!</v>
      </c>
      <c r="P53" s="82">
        <f>SUM(P41:P52)</f>
        <v>183167.7</v>
      </c>
      <c r="Q53" s="238" t="e">
        <f t="shared" si="10"/>
        <v>#REF!</v>
      </c>
    </row>
    <row r="54" spans="2:17" ht="21">
      <c r="O54" s="172"/>
    </row>
    <row r="55" spans="2:17">
      <c r="M55" s="237"/>
      <c r="O55" s="237"/>
    </row>
    <row r="56" spans="2:17">
      <c r="M56" s="239"/>
      <c r="N56" s="106" t="s">
        <v>142</v>
      </c>
    </row>
    <row r="57" spans="2:17" ht="21">
      <c r="M57" s="240"/>
      <c r="N57" s="19" t="s">
        <v>181</v>
      </c>
    </row>
    <row r="58" spans="2:17">
      <c r="N58" s="241"/>
    </row>
    <row r="60" spans="2:17">
      <c r="N60" s="241"/>
    </row>
  </sheetData>
  <mergeCells count="29">
    <mergeCell ref="FR5:GI5"/>
    <mergeCell ref="GK5:HB5"/>
    <mergeCell ref="CA5:CR5"/>
    <mergeCell ref="CT5:DK5"/>
    <mergeCell ref="DM5:ED5"/>
    <mergeCell ref="EF5:EW5"/>
    <mergeCell ref="EY5:FP5"/>
    <mergeCell ref="B29:B30"/>
    <mergeCell ref="MD5:MD6"/>
    <mergeCell ref="C7:T7"/>
    <mergeCell ref="B13:B15"/>
    <mergeCell ref="B16:B18"/>
    <mergeCell ref="HW5:IN5"/>
    <mergeCell ref="IP5:JG5"/>
    <mergeCell ref="JI5:JZ5"/>
    <mergeCell ref="KB5:KS5"/>
    <mergeCell ref="KT5:LK5"/>
    <mergeCell ref="LL5:MC5"/>
    <mergeCell ref="HD5:HU5"/>
    <mergeCell ref="C5:T5"/>
    <mergeCell ref="V5:AM5"/>
    <mergeCell ref="AO5:BF5"/>
    <mergeCell ref="BH5:BY5"/>
    <mergeCell ref="B8:B9"/>
    <mergeCell ref="B21:B22"/>
    <mergeCell ref="B23:B24"/>
    <mergeCell ref="B27:B28"/>
    <mergeCell ref="B10:B12"/>
    <mergeCell ref="B19:B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topLeftCell="A12" workbookViewId="0">
      <selection activeCell="G25" sqref="G25"/>
    </sheetView>
  </sheetViews>
  <sheetFormatPr defaultRowHeight="21"/>
  <cols>
    <col min="1" max="1" width="25.75" style="340" customWidth="1"/>
    <col min="2" max="2" width="66.75" style="341" customWidth="1"/>
    <col min="3" max="256" width="9.125" style="71"/>
    <col min="257" max="257" width="25.75" style="71" customWidth="1"/>
    <col min="258" max="258" width="66.75" style="71" customWidth="1"/>
    <col min="259" max="512" width="9.125" style="71"/>
    <col min="513" max="513" width="25.75" style="71" customWidth="1"/>
    <col min="514" max="514" width="66.75" style="71" customWidth="1"/>
    <col min="515" max="768" width="9.125" style="71"/>
    <col min="769" max="769" width="25.75" style="71" customWidth="1"/>
    <col min="770" max="770" width="66.75" style="71" customWidth="1"/>
    <col min="771" max="1024" width="9.125" style="71"/>
    <col min="1025" max="1025" width="25.75" style="71" customWidth="1"/>
    <col min="1026" max="1026" width="66.75" style="71" customWidth="1"/>
    <col min="1027" max="1280" width="9.125" style="71"/>
    <col min="1281" max="1281" width="25.75" style="71" customWidth="1"/>
    <col min="1282" max="1282" width="66.75" style="71" customWidth="1"/>
    <col min="1283" max="1536" width="9.125" style="71"/>
    <col min="1537" max="1537" width="25.75" style="71" customWidth="1"/>
    <col min="1538" max="1538" width="66.75" style="71" customWidth="1"/>
    <col min="1539" max="1792" width="9.125" style="71"/>
    <col min="1793" max="1793" width="25.75" style="71" customWidth="1"/>
    <col min="1794" max="1794" width="66.75" style="71" customWidth="1"/>
    <col min="1795" max="2048" width="9.125" style="71"/>
    <col min="2049" max="2049" width="25.75" style="71" customWidth="1"/>
    <col min="2050" max="2050" width="66.75" style="71" customWidth="1"/>
    <col min="2051" max="2304" width="9.125" style="71"/>
    <col min="2305" max="2305" width="25.75" style="71" customWidth="1"/>
    <col min="2306" max="2306" width="66.75" style="71" customWidth="1"/>
    <col min="2307" max="2560" width="9.125" style="71"/>
    <col min="2561" max="2561" width="25.75" style="71" customWidth="1"/>
    <col min="2562" max="2562" width="66.75" style="71" customWidth="1"/>
    <col min="2563" max="2816" width="9.125" style="71"/>
    <col min="2817" max="2817" width="25.75" style="71" customWidth="1"/>
    <col min="2818" max="2818" width="66.75" style="71" customWidth="1"/>
    <col min="2819" max="3072" width="9.125" style="71"/>
    <col min="3073" max="3073" width="25.75" style="71" customWidth="1"/>
    <col min="3074" max="3074" width="66.75" style="71" customWidth="1"/>
    <col min="3075" max="3328" width="9.125" style="71"/>
    <col min="3329" max="3329" width="25.75" style="71" customWidth="1"/>
    <col min="3330" max="3330" width="66.75" style="71" customWidth="1"/>
    <col min="3331" max="3584" width="9.125" style="71"/>
    <col min="3585" max="3585" width="25.75" style="71" customWidth="1"/>
    <col min="3586" max="3586" width="66.75" style="71" customWidth="1"/>
    <col min="3587" max="3840" width="9.125" style="71"/>
    <col min="3841" max="3841" width="25.75" style="71" customWidth="1"/>
    <col min="3842" max="3842" width="66.75" style="71" customWidth="1"/>
    <col min="3843" max="4096" width="9.125" style="71"/>
    <col min="4097" max="4097" width="25.75" style="71" customWidth="1"/>
    <col min="4098" max="4098" width="66.75" style="71" customWidth="1"/>
    <col min="4099" max="4352" width="9.125" style="71"/>
    <col min="4353" max="4353" width="25.75" style="71" customWidth="1"/>
    <col min="4354" max="4354" width="66.75" style="71" customWidth="1"/>
    <col min="4355" max="4608" width="9.125" style="71"/>
    <col min="4609" max="4609" width="25.75" style="71" customWidth="1"/>
    <col min="4610" max="4610" width="66.75" style="71" customWidth="1"/>
    <col min="4611" max="4864" width="9.125" style="71"/>
    <col min="4865" max="4865" width="25.75" style="71" customWidth="1"/>
    <col min="4866" max="4866" width="66.75" style="71" customWidth="1"/>
    <col min="4867" max="5120" width="9.125" style="71"/>
    <col min="5121" max="5121" width="25.75" style="71" customWidth="1"/>
    <col min="5122" max="5122" width="66.75" style="71" customWidth="1"/>
    <col min="5123" max="5376" width="9.125" style="71"/>
    <col min="5377" max="5377" width="25.75" style="71" customWidth="1"/>
    <col min="5378" max="5378" width="66.75" style="71" customWidth="1"/>
    <col min="5379" max="5632" width="9.125" style="71"/>
    <col min="5633" max="5633" width="25.75" style="71" customWidth="1"/>
    <col min="5634" max="5634" width="66.75" style="71" customWidth="1"/>
    <col min="5635" max="5888" width="9.125" style="71"/>
    <col min="5889" max="5889" width="25.75" style="71" customWidth="1"/>
    <col min="5890" max="5890" width="66.75" style="71" customWidth="1"/>
    <col min="5891" max="6144" width="9.125" style="71"/>
    <col min="6145" max="6145" width="25.75" style="71" customWidth="1"/>
    <col min="6146" max="6146" width="66.75" style="71" customWidth="1"/>
    <col min="6147" max="6400" width="9.125" style="71"/>
    <col min="6401" max="6401" width="25.75" style="71" customWidth="1"/>
    <col min="6402" max="6402" width="66.75" style="71" customWidth="1"/>
    <col min="6403" max="6656" width="9.125" style="71"/>
    <col min="6657" max="6657" width="25.75" style="71" customWidth="1"/>
    <col min="6658" max="6658" width="66.75" style="71" customWidth="1"/>
    <col min="6659" max="6912" width="9.125" style="71"/>
    <col min="6913" max="6913" width="25.75" style="71" customWidth="1"/>
    <col min="6914" max="6914" width="66.75" style="71" customWidth="1"/>
    <col min="6915" max="7168" width="9.125" style="71"/>
    <col min="7169" max="7169" width="25.75" style="71" customWidth="1"/>
    <col min="7170" max="7170" width="66.75" style="71" customWidth="1"/>
    <col min="7171" max="7424" width="9.125" style="71"/>
    <col min="7425" max="7425" width="25.75" style="71" customWidth="1"/>
    <col min="7426" max="7426" width="66.75" style="71" customWidth="1"/>
    <col min="7427" max="7680" width="9.125" style="71"/>
    <col min="7681" max="7681" width="25.75" style="71" customWidth="1"/>
    <col min="7682" max="7682" width="66.75" style="71" customWidth="1"/>
    <col min="7683" max="7936" width="9.125" style="71"/>
    <col min="7937" max="7937" width="25.75" style="71" customWidth="1"/>
    <col min="7938" max="7938" width="66.75" style="71" customWidth="1"/>
    <col min="7939" max="8192" width="9.125" style="71"/>
    <col min="8193" max="8193" width="25.75" style="71" customWidth="1"/>
    <col min="8194" max="8194" width="66.75" style="71" customWidth="1"/>
    <col min="8195" max="8448" width="9.125" style="71"/>
    <col min="8449" max="8449" width="25.75" style="71" customWidth="1"/>
    <col min="8450" max="8450" width="66.75" style="71" customWidth="1"/>
    <col min="8451" max="8704" width="9.125" style="71"/>
    <col min="8705" max="8705" width="25.75" style="71" customWidth="1"/>
    <col min="8706" max="8706" width="66.75" style="71" customWidth="1"/>
    <col min="8707" max="8960" width="9.125" style="71"/>
    <col min="8961" max="8961" width="25.75" style="71" customWidth="1"/>
    <col min="8962" max="8962" width="66.75" style="71" customWidth="1"/>
    <col min="8963" max="9216" width="9.125" style="71"/>
    <col min="9217" max="9217" width="25.75" style="71" customWidth="1"/>
    <col min="9218" max="9218" width="66.75" style="71" customWidth="1"/>
    <col min="9219" max="9472" width="9.125" style="71"/>
    <col min="9473" max="9473" width="25.75" style="71" customWidth="1"/>
    <col min="9474" max="9474" width="66.75" style="71" customWidth="1"/>
    <col min="9475" max="9728" width="9.125" style="71"/>
    <col min="9729" max="9729" width="25.75" style="71" customWidth="1"/>
    <col min="9730" max="9730" width="66.75" style="71" customWidth="1"/>
    <col min="9731" max="9984" width="9.125" style="71"/>
    <col min="9985" max="9985" width="25.75" style="71" customWidth="1"/>
    <col min="9986" max="9986" width="66.75" style="71" customWidth="1"/>
    <col min="9987" max="10240" width="9.125" style="71"/>
    <col min="10241" max="10241" width="25.75" style="71" customWidth="1"/>
    <col min="10242" max="10242" width="66.75" style="71" customWidth="1"/>
    <col min="10243" max="10496" width="9.125" style="71"/>
    <col min="10497" max="10497" width="25.75" style="71" customWidth="1"/>
    <col min="10498" max="10498" width="66.75" style="71" customWidth="1"/>
    <col min="10499" max="10752" width="9.125" style="71"/>
    <col min="10753" max="10753" width="25.75" style="71" customWidth="1"/>
    <col min="10754" max="10754" width="66.75" style="71" customWidth="1"/>
    <col min="10755" max="11008" width="9.125" style="71"/>
    <col min="11009" max="11009" width="25.75" style="71" customWidth="1"/>
    <col min="11010" max="11010" width="66.75" style="71" customWidth="1"/>
    <col min="11011" max="11264" width="9.125" style="71"/>
    <col min="11265" max="11265" width="25.75" style="71" customWidth="1"/>
    <col min="11266" max="11266" width="66.75" style="71" customWidth="1"/>
    <col min="11267" max="11520" width="9.125" style="71"/>
    <col min="11521" max="11521" width="25.75" style="71" customWidth="1"/>
    <col min="11522" max="11522" width="66.75" style="71" customWidth="1"/>
    <col min="11523" max="11776" width="9.125" style="71"/>
    <col min="11777" max="11777" width="25.75" style="71" customWidth="1"/>
    <col min="11778" max="11778" width="66.75" style="71" customWidth="1"/>
    <col min="11779" max="12032" width="9.125" style="71"/>
    <col min="12033" max="12033" width="25.75" style="71" customWidth="1"/>
    <col min="12034" max="12034" width="66.75" style="71" customWidth="1"/>
    <col min="12035" max="12288" width="9.125" style="71"/>
    <col min="12289" max="12289" width="25.75" style="71" customWidth="1"/>
    <col min="12290" max="12290" width="66.75" style="71" customWidth="1"/>
    <col min="12291" max="12544" width="9.125" style="71"/>
    <col min="12545" max="12545" width="25.75" style="71" customWidth="1"/>
    <col min="12546" max="12546" width="66.75" style="71" customWidth="1"/>
    <col min="12547" max="12800" width="9.125" style="71"/>
    <col min="12801" max="12801" width="25.75" style="71" customWidth="1"/>
    <col min="12802" max="12802" width="66.75" style="71" customWidth="1"/>
    <col min="12803" max="13056" width="9.125" style="71"/>
    <col min="13057" max="13057" width="25.75" style="71" customWidth="1"/>
    <col min="13058" max="13058" width="66.75" style="71" customWidth="1"/>
    <col min="13059" max="13312" width="9.125" style="71"/>
    <col min="13313" max="13313" width="25.75" style="71" customWidth="1"/>
    <col min="13314" max="13314" width="66.75" style="71" customWidth="1"/>
    <col min="13315" max="13568" width="9.125" style="71"/>
    <col min="13569" max="13569" width="25.75" style="71" customWidth="1"/>
    <col min="13570" max="13570" width="66.75" style="71" customWidth="1"/>
    <col min="13571" max="13824" width="9.125" style="71"/>
    <col min="13825" max="13825" width="25.75" style="71" customWidth="1"/>
    <col min="13826" max="13826" width="66.75" style="71" customWidth="1"/>
    <col min="13827" max="14080" width="9.125" style="71"/>
    <col min="14081" max="14081" width="25.75" style="71" customWidth="1"/>
    <col min="14082" max="14082" width="66.75" style="71" customWidth="1"/>
    <col min="14083" max="14336" width="9.125" style="71"/>
    <col min="14337" max="14337" width="25.75" style="71" customWidth="1"/>
    <col min="14338" max="14338" width="66.75" style="71" customWidth="1"/>
    <col min="14339" max="14592" width="9.125" style="71"/>
    <col min="14593" max="14593" width="25.75" style="71" customWidth="1"/>
    <col min="14594" max="14594" width="66.75" style="71" customWidth="1"/>
    <col min="14595" max="14848" width="9.125" style="71"/>
    <col min="14849" max="14849" width="25.75" style="71" customWidth="1"/>
    <col min="14850" max="14850" width="66.75" style="71" customWidth="1"/>
    <col min="14851" max="15104" width="9.125" style="71"/>
    <col min="15105" max="15105" width="25.75" style="71" customWidth="1"/>
    <col min="15106" max="15106" width="66.75" style="71" customWidth="1"/>
    <col min="15107" max="15360" width="9.125" style="71"/>
    <col min="15361" max="15361" width="25.75" style="71" customWidth="1"/>
    <col min="15362" max="15362" width="66.75" style="71" customWidth="1"/>
    <col min="15363" max="15616" width="9.125" style="71"/>
    <col min="15617" max="15617" width="25.75" style="71" customWidth="1"/>
    <col min="15618" max="15618" width="66.75" style="71" customWidth="1"/>
    <col min="15619" max="15872" width="9.125" style="71"/>
    <col min="15873" max="15873" width="25.75" style="71" customWidth="1"/>
    <col min="15874" max="15874" width="66.75" style="71" customWidth="1"/>
    <col min="15875" max="16128" width="9.125" style="71"/>
    <col min="16129" max="16129" width="25.75" style="71" customWidth="1"/>
    <col min="16130" max="16130" width="66.75" style="71" customWidth="1"/>
    <col min="16131" max="16384" width="9.125" style="71"/>
  </cols>
  <sheetData>
    <row r="1" spans="1:2">
      <c r="A1" s="338" t="s">
        <v>1088</v>
      </c>
      <c r="B1" s="339"/>
    </row>
    <row r="2" spans="1:2">
      <c r="A2" s="338" t="s">
        <v>1089</v>
      </c>
      <c r="B2" s="339"/>
    </row>
    <row r="3" spans="1:2" ht="12" customHeight="1"/>
    <row r="4" spans="1:2" s="365" customFormat="1" ht="32.1" customHeight="1">
      <c r="A4" s="342" t="s">
        <v>1090</v>
      </c>
      <c r="B4" s="343" t="s">
        <v>1091</v>
      </c>
    </row>
    <row r="5" spans="1:2" s="366" customFormat="1" ht="23.25">
      <c r="A5" s="344" t="s">
        <v>1092</v>
      </c>
      <c r="B5" s="345"/>
    </row>
    <row r="6" spans="1:2">
      <c r="A6" s="346" t="s">
        <v>1093</v>
      </c>
      <c r="B6" s="347" t="s">
        <v>1094</v>
      </c>
    </row>
    <row r="7" spans="1:2">
      <c r="A7" s="348" t="s">
        <v>1095</v>
      </c>
      <c r="B7" s="349" t="s">
        <v>1096</v>
      </c>
    </row>
    <row r="8" spans="1:2">
      <c r="A8" s="346" t="s">
        <v>1097</v>
      </c>
      <c r="B8" s="350" t="s">
        <v>1098</v>
      </c>
    </row>
    <row r="9" spans="1:2">
      <c r="A9" s="348" t="s">
        <v>1099</v>
      </c>
      <c r="B9" s="351" t="s">
        <v>1100</v>
      </c>
    </row>
    <row r="10" spans="1:2">
      <c r="A10" s="352" t="s">
        <v>1101</v>
      </c>
      <c r="B10" s="353"/>
    </row>
    <row r="11" spans="1:2">
      <c r="A11" s="346" t="s">
        <v>1102</v>
      </c>
      <c r="B11" s="347" t="s">
        <v>1103</v>
      </c>
    </row>
    <row r="12" spans="1:2">
      <c r="A12" s="354" t="s">
        <v>1104</v>
      </c>
      <c r="B12" s="351" t="s">
        <v>1105</v>
      </c>
    </row>
    <row r="13" spans="1:2">
      <c r="A13" s="352" t="s">
        <v>259</v>
      </c>
      <c r="B13" s="355"/>
    </row>
    <row r="14" spans="1:2" s="85" customFormat="1">
      <c r="A14" s="346" t="s">
        <v>1106</v>
      </c>
      <c r="B14" s="347" t="s">
        <v>260</v>
      </c>
    </row>
    <row r="15" spans="1:2">
      <c r="A15" s="354" t="s">
        <v>261</v>
      </c>
      <c r="B15" s="351" t="s">
        <v>1107</v>
      </c>
    </row>
    <row r="16" spans="1:2">
      <c r="A16" s="354" t="s">
        <v>264</v>
      </c>
      <c r="B16" s="351" t="s">
        <v>1108</v>
      </c>
    </row>
    <row r="17" spans="1:2">
      <c r="A17" s="356" t="s">
        <v>151</v>
      </c>
      <c r="B17" s="357"/>
    </row>
    <row r="18" spans="1:2">
      <c r="A18" s="346" t="s">
        <v>1109</v>
      </c>
      <c r="B18" s="358" t="s">
        <v>1110</v>
      </c>
    </row>
    <row r="19" spans="1:2">
      <c r="A19" s="354" t="s">
        <v>181</v>
      </c>
      <c r="B19" s="80" t="s">
        <v>1111</v>
      </c>
    </row>
    <row r="20" spans="1:2">
      <c r="A20" s="352" t="s">
        <v>1112</v>
      </c>
      <c r="B20" s="355"/>
    </row>
    <row r="21" spans="1:2">
      <c r="A21" s="346" t="s">
        <v>1113</v>
      </c>
      <c r="B21" s="359" t="s">
        <v>1114</v>
      </c>
    </row>
    <row r="22" spans="1:2">
      <c r="A22" s="354" t="s">
        <v>1115</v>
      </c>
      <c r="B22" s="351" t="s">
        <v>1116</v>
      </c>
    </row>
    <row r="23" spans="1:2">
      <c r="A23" s="356" t="s">
        <v>1117</v>
      </c>
      <c r="B23" s="353"/>
    </row>
    <row r="24" spans="1:2">
      <c r="A24" s="346" t="s">
        <v>1118</v>
      </c>
      <c r="B24" s="360" t="s">
        <v>150</v>
      </c>
    </row>
    <row r="25" spans="1:2">
      <c r="A25" s="354" t="s">
        <v>157</v>
      </c>
      <c r="B25" s="351" t="s">
        <v>1119</v>
      </c>
    </row>
    <row r="26" spans="1:2">
      <c r="A26" s="354" t="s">
        <v>154</v>
      </c>
      <c r="B26" s="351" t="s">
        <v>1120</v>
      </c>
    </row>
    <row r="27" spans="1:2">
      <c r="A27" s="354" t="s">
        <v>155</v>
      </c>
      <c r="B27" s="351" t="s">
        <v>1121</v>
      </c>
    </row>
    <row r="28" spans="1:2">
      <c r="A28" s="354" t="s">
        <v>156</v>
      </c>
      <c r="B28" s="80" t="s">
        <v>1122</v>
      </c>
    </row>
    <row r="29" spans="1:2">
      <c r="A29" s="354" t="s">
        <v>158</v>
      </c>
      <c r="B29" s="351" t="s">
        <v>1123</v>
      </c>
    </row>
    <row r="30" spans="1:2">
      <c r="A30" s="1194" t="s">
        <v>1124</v>
      </c>
      <c r="B30" s="1194"/>
    </row>
    <row r="31" spans="1:2">
      <c r="A31" s="346" t="s">
        <v>1125</v>
      </c>
      <c r="B31" s="360" t="s">
        <v>1126</v>
      </c>
    </row>
    <row r="32" spans="1:2" ht="28.5" customHeight="1">
      <c r="A32" s="354" t="s">
        <v>139</v>
      </c>
      <c r="B32" s="361" t="s">
        <v>1127</v>
      </c>
    </row>
    <row r="33" spans="1:2">
      <c r="A33" s="346" t="s">
        <v>1128</v>
      </c>
      <c r="B33" s="347" t="s">
        <v>1129</v>
      </c>
    </row>
    <row r="34" spans="1:2">
      <c r="A34" s="354" t="s">
        <v>1130</v>
      </c>
      <c r="B34" s="80" t="s">
        <v>1131</v>
      </c>
    </row>
    <row r="35" spans="1:2">
      <c r="A35" s="354" t="s">
        <v>1132</v>
      </c>
      <c r="B35" s="80" t="s">
        <v>1133</v>
      </c>
    </row>
    <row r="36" spans="1:2">
      <c r="A36" s="346" t="s">
        <v>1134</v>
      </c>
      <c r="B36" s="347" t="s">
        <v>252</v>
      </c>
    </row>
    <row r="37" spans="1:2">
      <c r="A37" s="354" t="s">
        <v>256</v>
      </c>
      <c r="B37" s="80" t="s">
        <v>1135</v>
      </c>
    </row>
    <row r="38" spans="1:2">
      <c r="A38" s="346" t="s">
        <v>1136</v>
      </c>
      <c r="B38" s="347" t="s">
        <v>1137</v>
      </c>
    </row>
    <row r="39" spans="1:2">
      <c r="A39" s="354" t="s">
        <v>1138</v>
      </c>
      <c r="B39" s="80" t="s">
        <v>1139</v>
      </c>
    </row>
    <row r="40" spans="1:2">
      <c r="A40" s="354" t="s">
        <v>1140</v>
      </c>
      <c r="B40" s="80" t="s">
        <v>1141</v>
      </c>
    </row>
    <row r="41" spans="1:2">
      <c r="A41" s="354" t="s">
        <v>1142</v>
      </c>
      <c r="B41" s="80" t="s">
        <v>1143</v>
      </c>
    </row>
    <row r="42" spans="1:2">
      <c r="A42" s="346" t="s">
        <v>1144</v>
      </c>
      <c r="B42" s="347" t="s">
        <v>266</v>
      </c>
    </row>
    <row r="43" spans="1:2">
      <c r="A43" s="354" t="s">
        <v>1145</v>
      </c>
      <c r="B43" s="361" t="s">
        <v>1146</v>
      </c>
    </row>
    <row r="44" spans="1:2">
      <c r="A44" s="354" t="s">
        <v>1147</v>
      </c>
      <c r="B44" s="80" t="s">
        <v>1148</v>
      </c>
    </row>
    <row r="45" spans="1:2" s="367" customFormat="1" ht="42">
      <c r="A45" s="362" t="s">
        <v>1149</v>
      </c>
      <c r="B45" s="351" t="s">
        <v>1150</v>
      </c>
    </row>
    <row r="46" spans="1:2">
      <c r="A46" s="354" t="s">
        <v>1151</v>
      </c>
      <c r="B46" s="80" t="s">
        <v>1152</v>
      </c>
    </row>
    <row r="47" spans="1:2" ht="27" customHeight="1">
      <c r="A47" s="354" t="s">
        <v>1153</v>
      </c>
      <c r="B47" s="80" t="s">
        <v>1154</v>
      </c>
    </row>
    <row r="48" spans="1:2">
      <c r="A48" s="354" t="s">
        <v>1029</v>
      </c>
      <c r="B48" s="80" t="s">
        <v>1155</v>
      </c>
    </row>
    <row r="49" spans="1:2">
      <c r="A49" s="354" t="s">
        <v>1156</v>
      </c>
      <c r="B49" s="80" t="s">
        <v>1157</v>
      </c>
    </row>
    <row r="50" spans="1:2">
      <c r="A50" s="354" t="s">
        <v>1158</v>
      </c>
      <c r="B50" s="80" t="s">
        <v>1159</v>
      </c>
    </row>
    <row r="51" spans="1:2" s="367" customFormat="1" ht="42">
      <c r="A51" s="362" t="s">
        <v>1160</v>
      </c>
      <c r="B51" s="351" t="s">
        <v>1161</v>
      </c>
    </row>
    <row r="52" spans="1:2">
      <c r="A52" s="354" t="s">
        <v>1162</v>
      </c>
      <c r="B52" s="80" t="s">
        <v>1163</v>
      </c>
    </row>
    <row r="53" spans="1:2">
      <c r="A53" s="356" t="s">
        <v>1164</v>
      </c>
      <c r="B53" s="353"/>
    </row>
    <row r="54" spans="1:2">
      <c r="A54" s="346" t="s">
        <v>1165</v>
      </c>
      <c r="B54" s="350" t="s">
        <v>1166</v>
      </c>
    </row>
    <row r="55" spans="1:2">
      <c r="A55" s="354" t="s">
        <v>1167</v>
      </c>
      <c r="B55" s="80" t="s">
        <v>1168</v>
      </c>
    </row>
    <row r="56" spans="1:2">
      <c r="A56" s="354" t="s">
        <v>1169</v>
      </c>
      <c r="B56" s="80" t="s">
        <v>1170</v>
      </c>
    </row>
    <row r="57" spans="1:2">
      <c r="A57" s="354" t="s">
        <v>1171</v>
      </c>
      <c r="B57" s="80" t="s">
        <v>1172</v>
      </c>
    </row>
    <row r="58" spans="1:2">
      <c r="A58" s="354" t="s">
        <v>180</v>
      </c>
      <c r="B58" s="80" t="s">
        <v>1173</v>
      </c>
    </row>
    <row r="59" spans="1:2">
      <c r="A59" s="354" t="s">
        <v>1174</v>
      </c>
      <c r="B59" s="80" t="s">
        <v>1175</v>
      </c>
    </row>
    <row r="60" spans="1:2" s="367" customFormat="1" ht="42">
      <c r="A60" s="362" t="s">
        <v>1176</v>
      </c>
      <c r="B60" s="351" t="s">
        <v>1177</v>
      </c>
    </row>
    <row r="61" spans="1:2">
      <c r="A61" s="346" t="s">
        <v>1178</v>
      </c>
      <c r="B61" s="347" t="s">
        <v>1179</v>
      </c>
    </row>
    <row r="62" spans="1:2">
      <c r="A62" s="354" t="s">
        <v>135</v>
      </c>
      <c r="B62" s="80" t="s">
        <v>1180</v>
      </c>
    </row>
    <row r="63" spans="1:2">
      <c r="A63" s="354" t="s">
        <v>136</v>
      </c>
      <c r="B63" s="80" t="s">
        <v>1181</v>
      </c>
    </row>
    <row r="64" spans="1:2">
      <c r="A64" s="356" t="s">
        <v>268</v>
      </c>
      <c r="B64" s="353"/>
    </row>
    <row r="65" spans="1:2" s="85" customFormat="1">
      <c r="A65" s="363" t="s">
        <v>1182</v>
      </c>
      <c r="B65" s="347" t="s">
        <v>269</v>
      </c>
    </row>
    <row r="66" spans="1:2">
      <c r="A66" s="354" t="s">
        <v>267</v>
      </c>
      <c r="B66" s="80" t="s">
        <v>1183</v>
      </c>
    </row>
    <row r="67" spans="1:2">
      <c r="A67" s="356" t="s">
        <v>1184</v>
      </c>
      <c r="B67" s="353"/>
    </row>
    <row r="68" spans="1:2">
      <c r="A68" s="346" t="s">
        <v>1185</v>
      </c>
      <c r="B68" s="347" t="s">
        <v>1186</v>
      </c>
    </row>
    <row r="69" spans="1:2">
      <c r="A69" s="354" t="s">
        <v>1187</v>
      </c>
      <c r="B69" s="80" t="s">
        <v>1188</v>
      </c>
    </row>
    <row r="70" spans="1:2">
      <c r="A70" s="354" t="s">
        <v>1189</v>
      </c>
      <c r="B70" s="80" t="s">
        <v>1190</v>
      </c>
    </row>
    <row r="71" spans="1:2">
      <c r="A71" s="354" t="s">
        <v>1191</v>
      </c>
      <c r="B71" s="80" t="s">
        <v>1192</v>
      </c>
    </row>
    <row r="72" spans="1:2">
      <c r="A72" s="356" t="s">
        <v>1193</v>
      </c>
      <c r="B72" s="353"/>
    </row>
    <row r="73" spans="1:2">
      <c r="A73" s="346" t="s">
        <v>1194</v>
      </c>
      <c r="B73" s="347" t="s">
        <v>272</v>
      </c>
    </row>
    <row r="74" spans="1:2" s="367" customFormat="1" ht="42">
      <c r="A74" s="362" t="s">
        <v>274</v>
      </c>
      <c r="B74" s="351" t="s">
        <v>1195</v>
      </c>
    </row>
    <row r="75" spans="1:2">
      <c r="A75" s="346" t="s">
        <v>1196</v>
      </c>
      <c r="B75" s="347" t="s">
        <v>1197</v>
      </c>
    </row>
    <row r="76" spans="1:2">
      <c r="A76" s="354" t="s">
        <v>1198</v>
      </c>
      <c r="B76" s="80" t="s">
        <v>1199</v>
      </c>
    </row>
    <row r="77" spans="1:2">
      <c r="A77" s="354" t="s">
        <v>1200</v>
      </c>
      <c r="B77" s="80" t="s">
        <v>1201</v>
      </c>
    </row>
    <row r="78" spans="1:2">
      <c r="A78" s="352" t="s">
        <v>1202</v>
      </c>
      <c r="B78" s="364"/>
    </row>
    <row r="79" spans="1:2">
      <c r="A79" s="346" t="s">
        <v>1203</v>
      </c>
      <c r="B79" s="347" t="s">
        <v>1204</v>
      </c>
    </row>
    <row r="80" spans="1:2">
      <c r="A80" s="354" t="s">
        <v>1205</v>
      </c>
      <c r="B80" s="80" t="s">
        <v>1206</v>
      </c>
    </row>
  </sheetData>
  <mergeCells count="1">
    <mergeCell ref="A30:B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6"/>
  <sheetViews>
    <sheetView topLeftCell="A71" zoomScale="80" zoomScaleNormal="80" workbookViewId="0">
      <selection activeCell="E103" sqref="E103:E105"/>
    </sheetView>
  </sheetViews>
  <sheetFormatPr defaultRowHeight="21"/>
  <cols>
    <col min="1" max="1" width="83.875" style="71" customWidth="1"/>
    <col min="2" max="2" width="22.25" style="71" customWidth="1"/>
    <col min="3" max="3" width="16.5" style="71" customWidth="1"/>
    <col min="4" max="4" width="16.375" style="71" bestFit="1" customWidth="1"/>
    <col min="5" max="6" width="16.5" style="71" customWidth="1"/>
    <col min="7" max="7" width="26.125" style="71" customWidth="1"/>
    <col min="8" max="8" width="13.375" style="71" customWidth="1"/>
    <col min="9" max="10" width="10.875" style="71" bestFit="1" customWidth="1"/>
    <col min="11" max="16384" width="9" style="71"/>
  </cols>
  <sheetData>
    <row r="1" spans="1:8">
      <c r="A1" s="995" t="str">
        <f>[1]งบประมาณภามรวม!B1</f>
        <v>รายงานสรุปการใช้จ่ายงบประมาณกับGF (สำนักปลัดกระทรวงสาธารณสุข)</v>
      </c>
      <c r="B1" s="995"/>
      <c r="C1" s="995"/>
      <c r="D1" s="995"/>
      <c r="E1" s="995"/>
      <c r="F1" s="995"/>
      <c r="G1" s="995"/>
    </row>
    <row r="2" spans="1:8">
      <c r="A2" s="996" t="str">
        <f>งบประมาณ!B2</f>
        <v xml:space="preserve"> ณ วันที่ 12 กันยายน  2566</v>
      </c>
      <c r="B2" s="996"/>
      <c r="C2" s="996"/>
      <c r="D2" s="996"/>
      <c r="E2" s="996"/>
      <c r="F2" s="996"/>
      <c r="G2" s="996"/>
    </row>
    <row r="3" spans="1:8" ht="36" customHeight="1">
      <c r="A3" s="1002" t="s">
        <v>118</v>
      </c>
      <c r="B3" s="1002"/>
      <c r="C3" s="1002"/>
      <c r="D3" s="1002"/>
      <c r="E3" s="1002"/>
      <c r="F3" s="1002"/>
      <c r="G3" s="1002"/>
      <c r="H3" s="1002"/>
    </row>
    <row r="4" spans="1:8" ht="42">
      <c r="A4" s="127" t="s">
        <v>8</v>
      </c>
      <c r="B4" s="128" t="s">
        <v>119</v>
      </c>
      <c r="C4" s="128" t="s">
        <v>120</v>
      </c>
      <c r="D4" s="129" t="s">
        <v>121</v>
      </c>
      <c r="E4" s="130" t="s">
        <v>79</v>
      </c>
      <c r="F4" s="131" t="s">
        <v>122</v>
      </c>
      <c r="G4" s="131" t="s">
        <v>123</v>
      </c>
      <c r="H4" s="532" t="s">
        <v>211</v>
      </c>
    </row>
    <row r="5" spans="1:8">
      <c r="A5" s="66" t="s">
        <v>124</v>
      </c>
      <c r="B5" s="18"/>
      <c r="C5" s="67"/>
      <c r="D5" s="20"/>
      <c r="E5" s="20"/>
      <c r="F5" s="68"/>
      <c r="G5" s="69"/>
      <c r="H5" s="69"/>
    </row>
    <row r="6" spans="1:8">
      <c r="A6" s="70" t="s">
        <v>59</v>
      </c>
      <c r="B6" s="18"/>
      <c r="C6" s="67"/>
      <c r="D6" s="21"/>
      <c r="E6" s="98"/>
      <c r="F6" s="21"/>
      <c r="G6" s="21"/>
      <c r="H6" s="21"/>
    </row>
    <row r="7" spans="1:8">
      <c r="A7" s="156" t="s">
        <v>259</v>
      </c>
      <c r="B7" s="79"/>
      <c r="C7" s="67"/>
      <c r="D7" s="158"/>
      <c r="E7" s="98"/>
      <c r="F7" s="21"/>
      <c r="G7" s="21"/>
      <c r="H7" s="21"/>
    </row>
    <row r="8" spans="1:8">
      <c r="A8" s="154" t="s">
        <v>260</v>
      </c>
      <c r="B8" s="525" t="s">
        <v>246</v>
      </c>
      <c r="C8" s="79"/>
      <c r="D8" s="243"/>
      <c r="E8" s="98"/>
      <c r="F8" s="21"/>
      <c r="G8" s="21"/>
      <c r="H8" s="21"/>
    </row>
    <row r="9" spans="1:8" ht="29.25" customHeight="1">
      <c r="A9" s="9" t="s">
        <v>262</v>
      </c>
      <c r="B9" s="19" t="s">
        <v>261</v>
      </c>
      <c r="C9" s="89">
        <v>243216</v>
      </c>
      <c r="D9" s="49">
        <v>1093400</v>
      </c>
      <c r="E9" s="1008">
        <f>'เบิกจ่าย 2566'!C19</f>
        <v>989345</v>
      </c>
      <c r="F9" s="1008">
        <f>D9+D10-E9</f>
        <v>167355</v>
      </c>
      <c r="G9" s="1000" t="s">
        <v>265</v>
      </c>
      <c r="H9" s="1006">
        <v>68157.8</v>
      </c>
    </row>
    <row r="10" spans="1:8">
      <c r="A10" s="9" t="s">
        <v>263</v>
      </c>
      <c r="B10" s="19" t="s">
        <v>264</v>
      </c>
      <c r="C10" s="89">
        <v>243216</v>
      </c>
      <c r="D10" s="49">
        <v>63300</v>
      </c>
      <c r="E10" s="1009"/>
      <c r="F10" s="1009"/>
      <c r="G10" s="1001"/>
      <c r="H10" s="1007"/>
    </row>
    <row r="11" spans="1:8">
      <c r="A11" s="9" t="s">
        <v>262</v>
      </c>
      <c r="B11" s="19" t="s">
        <v>261</v>
      </c>
      <c r="C11" s="89">
        <v>243343</v>
      </c>
      <c r="D11" s="125">
        <v>1027796</v>
      </c>
      <c r="E11" s="1010">
        <f>ยาเสพติด!D85+ยาเสพติด!D68+'เบิกจ่ายไตรมาส 3-4'!F40</f>
        <v>3923669.9299999997</v>
      </c>
      <c r="F11" s="1008">
        <f>D11+D12-E11</f>
        <v>-2864223.9299999997</v>
      </c>
      <c r="G11" s="1000" t="s">
        <v>1363</v>
      </c>
      <c r="H11" s="770">
        <v>2698900</v>
      </c>
    </row>
    <row r="12" spans="1:8">
      <c r="A12" s="9" t="s">
        <v>263</v>
      </c>
      <c r="B12" s="19" t="s">
        <v>264</v>
      </c>
      <c r="C12" s="89">
        <v>243343</v>
      </c>
      <c r="D12" s="125">
        <v>31650</v>
      </c>
      <c r="E12" s="1011"/>
      <c r="F12" s="1009"/>
      <c r="G12" s="1001"/>
      <c r="H12" s="21"/>
    </row>
    <row r="13" spans="1:8">
      <c r="A13" s="9" t="s">
        <v>262</v>
      </c>
      <c r="B13" s="19" t="s">
        <v>261</v>
      </c>
      <c r="C13" s="89">
        <v>243440</v>
      </c>
      <c r="D13" s="764">
        <v>50000</v>
      </c>
      <c r="E13" s="763"/>
      <c r="F13" s="761">
        <f t="shared" ref="F13:F15" si="0">D13-E13</f>
        <v>50000</v>
      </c>
      <c r="G13" s="762" t="s">
        <v>1446</v>
      </c>
      <c r="H13" s="21"/>
    </row>
    <row r="14" spans="1:8">
      <c r="A14" s="9" t="s">
        <v>262</v>
      </c>
      <c r="B14" s="19" t="s">
        <v>261</v>
      </c>
      <c r="C14" s="152">
        <v>243445</v>
      </c>
      <c r="D14" s="766">
        <v>2617250</v>
      </c>
      <c r="E14" s="763"/>
      <c r="F14" s="761">
        <f t="shared" si="0"/>
        <v>2617250</v>
      </c>
      <c r="G14" s="1003" t="s">
        <v>1473</v>
      </c>
      <c r="H14" s="21"/>
    </row>
    <row r="15" spans="1:8">
      <c r="A15" s="9" t="s">
        <v>263</v>
      </c>
      <c r="B15" s="19" t="s">
        <v>264</v>
      </c>
      <c r="C15" s="152">
        <v>243445</v>
      </c>
      <c r="D15" s="766">
        <v>31650</v>
      </c>
      <c r="E15" s="760"/>
      <c r="F15" s="759">
        <f t="shared" si="0"/>
        <v>31650</v>
      </c>
      <c r="G15" s="1005"/>
      <c r="H15" s="21"/>
    </row>
    <row r="16" spans="1:8">
      <c r="A16" s="104"/>
      <c r="B16" s="100"/>
      <c r="C16" s="101"/>
      <c r="D16" s="102">
        <f>SUM(D9:D15)</f>
        <v>4915046</v>
      </c>
      <c r="E16" s="102">
        <f>SUM(E9:E15)</f>
        <v>4913014.93</v>
      </c>
      <c r="F16" s="102">
        <f>SUM(F9:F15)</f>
        <v>2031.070000000298</v>
      </c>
      <c r="G16" s="103"/>
      <c r="H16" s="103"/>
    </row>
    <row r="17" spans="1:10" ht="23.25">
      <c r="A17" s="95" t="s">
        <v>125</v>
      </c>
      <c r="B17" s="18"/>
      <c r="C17" s="67"/>
      <c r="D17" s="21"/>
      <c r="E17" s="98"/>
      <c r="F17" s="21"/>
      <c r="G17" s="21"/>
      <c r="H17" s="21"/>
    </row>
    <row r="18" spans="1:10">
      <c r="A18" s="105" t="s">
        <v>126</v>
      </c>
      <c r="B18" s="19" t="s">
        <v>138</v>
      </c>
      <c r="C18" s="89"/>
      <c r="D18" s="90"/>
      <c r="E18" s="98"/>
      <c r="F18" s="21"/>
      <c r="G18" s="21"/>
      <c r="H18" s="21"/>
    </row>
    <row r="19" spans="1:10">
      <c r="A19" s="416" t="s">
        <v>129</v>
      </c>
      <c r="B19" s="417" t="s">
        <v>139</v>
      </c>
      <c r="C19" s="418">
        <v>243186</v>
      </c>
      <c r="D19" s="82">
        <v>710500</v>
      </c>
      <c r="E19" s="419">
        <f>'จัดสรร ค่าสาธารณู สสอ.'!M8</f>
        <v>654561.48</v>
      </c>
      <c r="F19" s="238">
        <f t="shared" ref="F19:F25" si="1">D19-E19</f>
        <v>55938.520000000019</v>
      </c>
      <c r="G19" s="79" t="s">
        <v>159</v>
      </c>
      <c r="H19" s="79" t="s">
        <v>212</v>
      </c>
      <c r="I19" s="172"/>
      <c r="J19" s="188"/>
    </row>
    <row r="20" spans="1:10" ht="42">
      <c r="A20" s="9" t="s">
        <v>202</v>
      </c>
      <c r="B20" s="417" t="s">
        <v>139</v>
      </c>
      <c r="C20" s="89">
        <v>243196</v>
      </c>
      <c r="D20" s="90">
        <v>485000</v>
      </c>
      <c r="E20" s="413">
        <f>ยาเสพติด!D242+ยาเสพติด!D152</f>
        <v>335961</v>
      </c>
      <c r="F20" s="414">
        <f t="shared" si="1"/>
        <v>149039</v>
      </c>
      <c r="G20" s="21" t="s">
        <v>210</v>
      </c>
      <c r="H20" s="21" t="s">
        <v>213</v>
      </c>
      <c r="I20" s="172"/>
      <c r="J20" s="188"/>
    </row>
    <row r="21" spans="1:10" s="4" customFormat="1" ht="42">
      <c r="A21" s="9" t="s">
        <v>1237</v>
      </c>
      <c r="B21" s="19" t="s">
        <v>139</v>
      </c>
      <c r="C21" s="89">
        <v>243280</v>
      </c>
      <c r="D21" s="90">
        <v>100000</v>
      </c>
      <c r="E21" s="90">
        <f>+'เบิกจ่าย 2566'!T19</f>
        <v>117600</v>
      </c>
      <c r="F21" s="414">
        <f t="shared" si="1"/>
        <v>-17600</v>
      </c>
      <c r="G21" s="21" t="s">
        <v>1236</v>
      </c>
      <c r="H21" s="21"/>
    </row>
    <row r="22" spans="1:10">
      <c r="A22" s="416" t="s">
        <v>129</v>
      </c>
      <c r="B22" s="417" t="s">
        <v>139</v>
      </c>
      <c r="C22" s="89">
        <v>243334</v>
      </c>
      <c r="D22" s="90">
        <v>325300</v>
      </c>
      <c r="E22" s="94">
        <f>'เบิกจ่ายไตรมาส 3-4'!F63</f>
        <v>853670</v>
      </c>
      <c r="F22" s="69">
        <f t="shared" si="1"/>
        <v>-528370</v>
      </c>
      <c r="G22" s="21" t="s">
        <v>1295</v>
      </c>
      <c r="H22" s="21"/>
    </row>
    <row r="23" spans="1:10" ht="42">
      <c r="A23" s="9" t="s">
        <v>1365</v>
      </c>
      <c r="B23" s="417" t="s">
        <v>139</v>
      </c>
      <c r="C23" s="89">
        <v>243363</v>
      </c>
      <c r="D23" s="90">
        <v>342000</v>
      </c>
      <c r="E23" s="413">
        <f>ยาเสพติด!D217</f>
        <v>313260</v>
      </c>
      <c r="F23" s="856">
        <f t="shared" si="1"/>
        <v>28740</v>
      </c>
      <c r="G23" s="21" t="s">
        <v>1366</v>
      </c>
      <c r="H23" s="21"/>
    </row>
    <row r="24" spans="1:10" ht="63">
      <c r="A24" s="9" t="s">
        <v>1448</v>
      </c>
      <c r="B24" s="417" t="s">
        <v>139</v>
      </c>
      <c r="C24" s="152">
        <v>243447</v>
      </c>
      <c r="D24" s="412">
        <v>170000</v>
      </c>
      <c r="E24" s="94">
        <v>41600</v>
      </c>
      <c r="F24" s="856">
        <f t="shared" si="1"/>
        <v>128400</v>
      </c>
      <c r="G24" s="21" t="s">
        <v>1449</v>
      </c>
      <c r="H24" s="21"/>
    </row>
    <row r="25" spans="1:10">
      <c r="A25" s="9" t="s">
        <v>129</v>
      </c>
      <c r="B25" s="417" t="s">
        <v>139</v>
      </c>
      <c r="C25" s="152">
        <v>243451</v>
      </c>
      <c r="D25" s="412">
        <v>258400</v>
      </c>
      <c r="E25" s="568">
        <f>'เบิกจ่ายไตรมาส 3-4'!F72</f>
        <v>0</v>
      </c>
      <c r="F25" s="414">
        <f t="shared" si="1"/>
        <v>258400</v>
      </c>
      <c r="G25" s="21" t="s">
        <v>1453</v>
      </c>
      <c r="H25" s="21"/>
    </row>
    <row r="26" spans="1:10">
      <c r="A26" s="9"/>
      <c r="B26" s="417"/>
      <c r="C26" s="152"/>
      <c r="D26" s="412">
        <v>19000</v>
      </c>
      <c r="E26" s="568">
        <v>36360</v>
      </c>
      <c r="F26" s="414"/>
      <c r="G26" s="21"/>
      <c r="H26" s="21"/>
    </row>
    <row r="27" spans="1:10">
      <c r="A27" s="9"/>
      <c r="B27" s="417"/>
      <c r="C27" s="152"/>
      <c r="D27" s="412">
        <v>-57187.519999999997</v>
      </c>
      <c r="E27" s="568"/>
      <c r="F27" s="69"/>
      <c r="G27" s="21"/>
      <c r="H27" s="21"/>
    </row>
    <row r="28" spans="1:10">
      <c r="A28" s="104"/>
      <c r="B28" s="100"/>
      <c r="C28" s="101"/>
      <c r="D28" s="102">
        <f>SUM(D19:D27)</f>
        <v>2353012.48</v>
      </c>
      <c r="E28" s="102">
        <f t="shared" ref="E28:F28" si="2">SUM(E19:E27)</f>
        <v>2353012.48</v>
      </c>
      <c r="F28" s="102">
        <f t="shared" si="2"/>
        <v>74547.520000000019</v>
      </c>
      <c r="G28" s="103"/>
      <c r="H28" s="103"/>
    </row>
    <row r="29" spans="1:10">
      <c r="A29" s="105" t="s">
        <v>252</v>
      </c>
      <c r="B29" s="19" t="s">
        <v>247</v>
      </c>
      <c r="C29" s="67"/>
      <c r="D29" s="69"/>
      <c r="E29" s="69"/>
      <c r="F29" s="69"/>
      <c r="G29" s="21"/>
      <c r="H29" s="21"/>
    </row>
    <row r="30" spans="1:10" ht="42">
      <c r="A30" s="96" t="s">
        <v>253</v>
      </c>
      <c r="B30" s="19" t="s">
        <v>254</v>
      </c>
      <c r="C30" s="89">
        <v>243215</v>
      </c>
      <c r="D30" s="90">
        <v>52000</v>
      </c>
      <c r="E30" s="69">
        <v>20600</v>
      </c>
      <c r="F30" s="69">
        <f>D30-E30</f>
        <v>31400</v>
      </c>
      <c r="G30" s="21" t="s">
        <v>255</v>
      </c>
      <c r="H30" s="21" t="s">
        <v>1258</v>
      </c>
    </row>
    <row r="31" spans="1:10" ht="42">
      <c r="A31" s="547" t="s">
        <v>253</v>
      </c>
      <c r="B31" s="19" t="s">
        <v>254</v>
      </c>
      <c r="C31" s="89">
        <v>243361</v>
      </c>
      <c r="D31" s="90">
        <v>8500</v>
      </c>
      <c r="E31" s="69">
        <f>2600+2600</f>
        <v>5200</v>
      </c>
      <c r="F31" s="69">
        <f>D31-E31</f>
        <v>3300</v>
      </c>
      <c r="G31" s="21" t="s">
        <v>1367</v>
      </c>
      <c r="H31" s="21" t="s">
        <v>1258</v>
      </c>
    </row>
    <row r="32" spans="1:10" ht="42">
      <c r="A32" s="547" t="s">
        <v>253</v>
      </c>
      <c r="B32" s="19" t="s">
        <v>254</v>
      </c>
      <c r="C32" s="152">
        <v>243461</v>
      </c>
      <c r="D32" s="414">
        <v>10000</v>
      </c>
      <c r="E32" s="69">
        <v>44200</v>
      </c>
      <c r="F32" s="69">
        <f>D32-E32</f>
        <v>-34200</v>
      </c>
      <c r="G32" s="21" t="s">
        <v>1468</v>
      </c>
      <c r="H32" s="21"/>
    </row>
    <row r="33" spans="1:8">
      <c r="A33" s="547"/>
      <c r="B33" s="19"/>
      <c r="C33" s="152"/>
      <c r="D33" s="414">
        <v>-500</v>
      </c>
      <c r="E33" s="69"/>
      <c r="F33" s="69"/>
      <c r="G33" s="21"/>
      <c r="H33" s="21"/>
    </row>
    <row r="34" spans="1:8">
      <c r="A34" s="104"/>
      <c r="B34" s="100"/>
      <c r="C34" s="101"/>
      <c r="D34" s="102">
        <f>SUM(D30:D33)</f>
        <v>70000</v>
      </c>
      <c r="E34" s="102">
        <f t="shared" ref="E34:F34" si="3">SUM(E30:E32)</f>
        <v>70000</v>
      </c>
      <c r="F34" s="102">
        <f t="shared" si="3"/>
        <v>500</v>
      </c>
      <c r="G34" s="103"/>
      <c r="H34" s="103"/>
    </row>
    <row r="35" spans="1:8">
      <c r="A35" s="154" t="s">
        <v>266</v>
      </c>
      <c r="B35" s="71" t="s">
        <v>249</v>
      </c>
      <c r="C35" s="67"/>
      <c r="D35" s="69"/>
      <c r="E35" s="69"/>
      <c r="F35" s="69"/>
      <c r="G35" s="21"/>
      <c r="H35" s="21"/>
    </row>
    <row r="36" spans="1:8" s="4" customFormat="1" ht="42">
      <c r="A36" s="160" t="s">
        <v>1294</v>
      </c>
      <c r="B36" s="21" t="s">
        <v>1029</v>
      </c>
      <c r="C36" s="89">
        <v>243216</v>
      </c>
      <c r="D36" s="527">
        <v>142000</v>
      </c>
      <c r="E36" s="69">
        <f>'เบิกจ่าย 2566'!Q19+'เบิกจ่าย 2566'!R19</f>
        <v>142000</v>
      </c>
      <c r="F36" s="69">
        <f>D36-E36</f>
        <v>0</v>
      </c>
      <c r="G36" s="21"/>
      <c r="H36" s="21"/>
    </row>
    <row r="37" spans="1:8" s="4" customFormat="1" ht="63">
      <c r="A37" s="9" t="s">
        <v>1355</v>
      </c>
      <c r="B37" s="19" t="s">
        <v>1151</v>
      </c>
      <c r="C37" s="89">
        <v>243287</v>
      </c>
      <c r="D37" s="69">
        <v>5300</v>
      </c>
      <c r="E37" s="69">
        <f>'เบิกจ่าย 2566'!S19</f>
        <v>5200</v>
      </c>
      <c r="F37" s="69">
        <f>D37-E37</f>
        <v>100</v>
      </c>
      <c r="G37" s="21" t="s">
        <v>1235</v>
      </c>
      <c r="H37" s="21"/>
    </row>
    <row r="38" spans="1:8" s="4" customFormat="1">
      <c r="A38" s="9" t="s">
        <v>1310</v>
      </c>
      <c r="B38" s="19" t="s">
        <v>1151</v>
      </c>
      <c r="C38" s="89">
        <v>243336</v>
      </c>
      <c r="D38" s="69">
        <v>5300</v>
      </c>
      <c r="E38" s="69">
        <v>10400</v>
      </c>
      <c r="F38" s="69">
        <f t="shared" ref="F38:F40" si="4">D38-E38</f>
        <v>-5100</v>
      </c>
      <c r="G38" s="21" t="s">
        <v>1309</v>
      </c>
      <c r="H38" s="21" t="s">
        <v>1252</v>
      </c>
    </row>
    <row r="39" spans="1:8" s="4" customFormat="1">
      <c r="A39" s="9" t="s">
        <v>1476</v>
      </c>
      <c r="B39" s="19" t="s">
        <v>1151</v>
      </c>
      <c r="C39" s="152">
        <v>243469</v>
      </c>
      <c r="D39" s="414">
        <v>5246</v>
      </c>
      <c r="E39" s="69"/>
      <c r="F39" s="69">
        <f t="shared" si="4"/>
        <v>5246</v>
      </c>
      <c r="G39" s="21" t="s">
        <v>1475</v>
      </c>
      <c r="H39" s="21"/>
    </row>
    <row r="40" spans="1:8" s="4" customFormat="1">
      <c r="A40" s="9"/>
      <c r="B40" s="19"/>
      <c r="C40" s="152"/>
      <c r="D40" s="414">
        <v>-246</v>
      </c>
      <c r="E40" s="69"/>
      <c r="F40" s="69">
        <f t="shared" si="4"/>
        <v>-246</v>
      </c>
      <c r="G40" s="21"/>
      <c r="H40" s="21"/>
    </row>
    <row r="41" spans="1:8">
      <c r="A41" s="104"/>
      <c r="B41" s="100"/>
      <c r="C41" s="101"/>
      <c r="D41" s="102">
        <f>SUM(D36:D40)</f>
        <v>157600</v>
      </c>
      <c r="E41" s="102">
        <f>SUM(E36:E39)</f>
        <v>157600</v>
      </c>
      <c r="F41" s="102">
        <f>SUM(F36:F40)</f>
        <v>0</v>
      </c>
      <c r="G41" s="103"/>
      <c r="H41" s="103"/>
    </row>
    <row r="42" spans="1:8" ht="23.25">
      <c r="A42" s="95" t="s">
        <v>130</v>
      </c>
      <c r="B42" s="18"/>
      <c r="C42" s="67"/>
      <c r="D42" s="21"/>
      <c r="E42" s="98"/>
      <c r="F42" s="21"/>
      <c r="G42" s="21"/>
      <c r="H42" s="21"/>
    </row>
    <row r="43" spans="1:8">
      <c r="A43" s="105" t="s">
        <v>133</v>
      </c>
      <c r="B43" s="19" t="s">
        <v>134</v>
      </c>
      <c r="C43" s="67"/>
      <c r="D43" s="21"/>
      <c r="E43" s="98"/>
      <c r="F43" s="21"/>
      <c r="G43" s="21"/>
      <c r="H43" s="21"/>
    </row>
    <row r="44" spans="1:8">
      <c r="A44" s="96" t="s">
        <v>131</v>
      </c>
      <c r="B44" s="19" t="s">
        <v>135</v>
      </c>
      <c r="C44" s="89">
        <v>243187</v>
      </c>
      <c r="D44" s="90">
        <v>90900</v>
      </c>
      <c r="E44" s="262">
        <f>'จัดสรร ค่าสาธารณู สสอ.'!M23+'เบิกจ่าย 2566'!AF19+'เบิกจ่าย 2566'!AE19</f>
        <v>65549.960000000006</v>
      </c>
      <c r="F44" s="69">
        <f>D44-E44</f>
        <v>25350.039999999994</v>
      </c>
      <c r="G44" s="997" t="s">
        <v>137</v>
      </c>
      <c r="H44" s="132" t="s">
        <v>214</v>
      </c>
    </row>
    <row r="45" spans="1:8" s="4" customFormat="1">
      <c r="A45" s="96" t="s">
        <v>132</v>
      </c>
      <c r="B45" s="19" t="s">
        <v>136</v>
      </c>
      <c r="C45" s="89">
        <v>243187</v>
      </c>
      <c r="D45" s="90">
        <v>144000</v>
      </c>
      <c r="E45" s="262">
        <f>'จัดสรร ค่าสาธารณู สสอ.'!M21+'เบิกจ่าย 2566'!AB19+'เบิกจ่าย 2566'!AC19</f>
        <v>161613.95000000001</v>
      </c>
      <c r="F45" s="69">
        <f>D45-E45</f>
        <v>-17613.950000000012</v>
      </c>
      <c r="G45" s="998"/>
      <c r="H45" s="133"/>
    </row>
    <row r="46" spans="1:8" ht="42">
      <c r="A46" s="96" t="s">
        <v>1023</v>
      </c>
      <c r="B46" s="19" t="s">
        <v>135</v>
      </c>
      <c r="C46" s="89">
        <v>243218</v>
      </c>
      <c r="D46" s="90">
        <v>95590</v>
      </c>
      <c r="E46" s="262">
        <f>+'เบิกจ่าย 2566'!AD19+'เบิกจ่ายไตรมาส 3-4'!F86</f>
        <v>377964.20999999996</v>
      </c>
      <c r="F46" s="414">
        <f>D46-E46</f>
        <v>-282374.20999999996</v>
      </c>
      <c r="G46" s="997" t="s">
        <v>1028</v>
      </c>
      <c r="H46" s="133"/>
    </row>
    <row r="47" spans="1:8">
      <c r="A47" s="96" t="s">
        <v>1522</v>
      </c>
      <c r="B47" s="19" t="s">
        <v>135</v>
      </c>
      <c r="C47" s="89">
        <v>243220</v>
      </c>
      <c r="D47" s="820">
        <v>18000</v>
      </c>
      <c r="E47" s="262"/>
      <c r="F47" s="414">
        <f>D47-E47</f>
        <v>18000</v>
      </c>
      <c r="G47" s="998"/>
      <c r="H47" s="133"/>
    </row>
    <row r="48" spans="1:8">
      <c r="A48" s="114" t="s">
        <v>131</v>
      </c>
      <c r="B48" s="525" t="s">
        <v>135</v>
      </c>
      <c r="C48" s="89">
        <v>243336</v>
      </c>
      <c r="D48" s="126">
        <v>7800</v>
      </c>
      <c r="E48" s="98"/>
      <c r="F48" s="69">
        <f t="shared" ref="F48:F54" si="5">D48-E48</f>
        <v>7800</v>
      </c>
      <c r="G48" s="997" t="s">
        <v>1303</v>
      </c>
      <c r="H48" s="520"/>
    </row>
    <row r="49" spans="1:8">
      <c r="A49" s="114" t="s">
        <v>132</v>
      </c>
      <c r="B49" s="525" t="s">
        <v>136</v>
      </c>
      <c r="C49" s="89">
        <v>243336</v>
      </c>
      <c r="D49" s="94">
        <v>10900</v>
      </c>
      <c r="E49" s="98"/>
      <c r="F49" s="69">
        <f t="shared" si="5"/>
        <v>10900</v>
      </c>
      <c r="G49" s="998"/>
      <c r="H49" s="520"/>
    </row>
    <row r="50" spans="1:8" ht="42">
      <c r="A50" s="552" t="s">
        <v>1368</v>
      </c>
      <c r="B50" s="525" t="s">
        <v>135</v>
      </c>
      <c r="C50" s="89">
        <v>243361</v>
      </c>
      <c r="D50" s="94">
        <v>12400</v>
      </c>
      <c r="E50" s="98"/>
      <c r="F50" s="414">
        <f t="shared" si="5"/>
        <v>12400</v>
      </c>
      <c r="G50" s="549" t="s">
        <v>1369</v>
      </c>
      <c r="H50" s="546"/>
    </row>
    <row r="51" spans="1:8">
      <c r="A51" s="731" t="s">
        <v>1442</v>
      </c>
      <c r="B51" s="525" t="s">
        <v>135</v>
      </c>
      <c r="C51" s="152">
        <v>243412</v>
      </c>
      <c r="D51" s="819">
        <v>8500</v>
      </c>
      <c r="E51" s="98"/>
      <c r="F51" s="414">
        <f t="shared" si="5"/>
        <v>8500</v>
      </c>
      <c r="G51" s="723" t="s">
        <v>1443</v>
      </c>
      <c r="H51" s="724"/>
    </row>
    <row r="52" spans="1:8">
      <c r="A52" s="731" t="s">
        <v>131</v>
      </c>
      <c r="B52" s="525" t="s">
        <v>135</v>
      </c>
      <c r="C52" s="152">
        <v>243451</v>
      </c>
      <c r="D52" s="768">
        <v>168400</v>
      </c>
      <c r="E52" s="98"/>
      <c r="F52" s="69">
        <f t="shared" si="5"/>
        <v>168400</v>
      </c>
      <c r="G52" s="1003" t="s">
        <v>1452</v>
      </c>
      <c r="H52" s="767"/>
    </row>
    <row r="53" spans="1:8">
      <c r="A53" s="114" t="s">
        <v>132</v>
      </c>
      <c r="B53" s="525" t="s">
        <v>136</v>
      </c>
      <c r="C53" s="152">
        <v>243451</v>
      </c>
      <c r="D53" s="768">
        <v>116000</v>
      </c>
      <c r="E53" s="94"/>
      <c r="F53" s="69">
        <f t="shared" si="5"/>
        <v>116000</v>
      </c>
      <c r="G53" s="1005"/>
      <c r="H53" s="546"/>
    </row>
    <row r="54" spans="1:8" ht="42">
      <c r="A54" s="731" t="s">
        <v>1523</v>
      </c>
      <c r="B54" s="525" t="s">
        <v>135</v>
      </c>
      <c r="C54" s="152">
        <v>243480</v>
      </c>
      <c r="D54" s="852">
        <v>23350</v>
      </c>
      <c r="E54" s="94"/>
      <c r="F54" s="69">
        <f t="shared" si="5"/>
        <v>23350</v>
      </c>
      <c r="G54" s="817" t="s">
        <v>1517</v>
      </c>
      <c r="H54" s="818"/>
    </row>
    <row r="55" spans="1:8">
      <c r="A55" s="731"/>
      <c r="B55" s="525"/>
      <c r="C55" s="152"/>
      <c r="D55" s="852">
        <v>-90711.88</v>
      </c>
      <c r="E55" s="94"/>
      <c r="F55" s="69"/>
      <c r="G55" s="963"/>
      <c r="H55" s="964"/>
    </row>
    <row r="56" spans="1:8" ht="27" customHeight="1">
      <c r="A56" s="99"/>
      <c r="B56" s="100"/>
      <c r="C56" s="101"/>
      <c r="D56" s="102">
        <f>SUM(D44:D55)</f>
        <v>605128.12</v>
      </c>
      <c r="E56" s="102">
        <f>SUM(E44:E53)</f>
        <v>605128.12</v>
      </c>
      <c r="F56" s="102">
        <f>SUM(F44:F54)</f>
        <v>90711.88</v>
      </c>
      <c r="G56" s="103"/>
      <c r="H56" s="103"/>
    </row>
    <row r="57" spans="1:8" ht="23.25">
      <c r="A57" s="95" t="s">
        <v>143</v>
      </c>
      <c r="B57" s="18"/>
      <c r="C57" s="67"/>
      <c r="D57" s="21"/>
      <c r="E57" s="98"/>
      <c r="F57" s="21"/>
      <c r="G57" s="21"/>
      <c r="H57" s="21"/>
    </row>
    <row r="58" spans="1:8">
      <c r="A58" s="105" t="s">
        <v>144</v>
      </c>
      <c r="B58" s="19" t="s">
        <v>141</v>
      </c>
      <c r="C58" s="67"/>
      <c r="D58" s="21"/>
      <c r="E58" s="98"/>
      <c r="F58" s="21"/>
      <c r="G58" s="21"/>
      <c r="H58" s="21"/>
    </row>
    <row r="59" spans="1:8">
      <c r="A59" s="96" t="s">
        <v>145</v>
      </c>
      <c r="B59" s="19" t="s">
        <v>154</v>
      </c>
      <c r="C59" s="89">
        <v>243187</v>
      </c>
      <c r="D59" s="957">
        <v>58300</v>
      </c>
      <c r="E59" s="94">
        <f>'เบิกจ่าย 2566'!V19</f>
        <v>50260</v>
      </c>
      <c r="F59" s="90">
        <f>D59-E59</f>
        <v>8040</v>
      </c>
      <c r="G59" s="997" t="s">
        <v>160</v>
      </c>
      <c r="H59" s="1003"/>
    </row>
    <row r="60" spans="1:8">
      <c r="A60" s="96" t="s">
        <v>146</v>
      </c>
      <c r="B60" s="19" t="s">
        <v>155</v>
      </c>
      <c r="C60" s="89">
        <v>243187</v>
      </c>
      <c r="D60" s="957">
        <v>41600</v>
      </c>
      <c r="E60" s="71">
        <v>0</v>
      </c>
      <c r="F60" s="90">
        <f>D60-E60</f>
        <v>41600</v>
      </c>
      <c r="G60" s="999"/>
      <c r="H60" s="1004"/>
    </row>
    <row r="61" spans="1:8">
      <c r="A61" s="96" t="s">
        <v>149</v>
      </c>
      <c r="B61" s="19" t="s">
        <v>156</v>
      </c>
      <c r="C61" s="89">
        <v>243187</v>
      </c>
      <c r="D61" s="957">
        <v>44000</v>
      </c>
      <c r="E61" s="94">
        <f>'เบิกจ่าย 2566'!X19</f>
        <v>14300</v>
      </c>
      <c r="F61" s="90">
        <f>D61-E61</f>
        <v>29700</v>
      </c>
      <c r="G61" s="999"/>
      <c r="H61" s="1004"/>
    </row>
    <row r="62" spans="1:8">
      <c r="A62" s="96" t="s">
        <v>147</v>
      </c>
      <c r="B62" s="19" t="s">
        <v>158</v>
      </c>
      <c r="C62" s="89">
        <v>243187</v>
      </c>
      <c r="D62" s="957">
        <v>60200</v>
      </c>
      <c r="E62" s="94">
        <f>'เบิกจ่าย 2566'!U19+'เบิกจ่าย 2566'!Z19</f>
        <v>25900</v>
      </c>
      <c r="F62" s="90">
        <f>D62-E62</f>
        <v>34300</v>
      </c>
      <c r="G62" s="999"/>
      <c r="H62" s="1004"/>
    </row>
    <row r="63" spans="1:8">
      <c r="A63" s="96" t="s">
        <v>148</v>
      </c>
      <c r="B63" s="19" t="s">
        <v>157</v>
      </c>
      <c r="C63" s="89">
        <v>243187</v>
      </c>
      <c r="D63" s="957">
        <v>50000</v>
      </c>
      <c r="E63" s="94">
        <f>'เบิกจ่าย 2566'!Y19</f>
        <v>34400</v>
      </c>
      <c r="F63" s="90">
        <f>D63-E63</f>
        <v>15600</v>
      </c>
      <c r="G63" s="998"/>
      <c r="H63" s="1005"/>
    </row>
    <row r="64" spans="1:8">
      <c r="A64" s="96" t="s">
        <v>145</v>
      </c>
      <c r="B64" s="19" t="s">
        <v>154</v>
      </c>
      <c r="C64" s="89">
        <v>243334</v>
      </c>
      <c r="D64" s="94">
        <v>19100</v>
      </c>
      <c r="E64" s="94">
        <f>'เบิกจ่าย 2566'!W19</f>
        <v>18020</v>
      </c>
      <c r="F64" s="90">
        <f t="shared" ref="F64:F69" si="6">D64-E64</f>
        <v>1080</v>
      </c>
      <c r="G64" s="997" t="s">
        <v>1304</v>
      </c>
      <c r="H64" s="521"/>
    </row>
    <row r="65" spans="1:8">
      <c r="A65" s="96" t="s">
        <v>146</v>
      </c>
      <c r="B65" s="19" t="s">
        <v>155</v>
      </c>
      <c r="C65" s="89">
        <v>243334</v>
      </c>
      <c r="D65" s="94">
        <v>13400</v>
      </c>
      <c r="E65" s="94">
        <f>+'เบิกจ่ายไตรมาส 3-4'!F55</f>
        <v>126834</v>
      </c>
      <c r="F65" s="90">
        <f t="shared" si="6"/>
        <v>-113434</v>
      </c>
      <c r="G65" s="999"/>
      <c r="H65" s="521"/>
    </row>
    <row r="66" spans="1:8">
      <c r="A66" s="96" t="s">
        <v>149</v>
      </c>
      <c r="B66" s="19" t="s">
        <v>156</v>
      </c>
      <c r="C66" s="89">
        <v>243334</v>
      </c>
      <c r="D66" s="94">
        <v>14500</v>
      </c>
      <c r="E66" s="94">
        <v>36510</v>
      </c>
      <c r="F66" s="90">
        <f t="shared" si="6"/>
        <v>-22010</v>
      </c>
      <c r="G66" s="999"/>
      <c r="H66" s="521"/>
    </row>
    <row r="67" spans="1:8">
      <c r="A67" s="96" t="s">
        <v>147</v>
      </c>
      <c r="B67" s="19" t="s">
        <v>158</v>
      </c>
      <c r="C67" s="89">
        <v>243334</v>
      </c>
      <c r="D67" s="94">
        <v>22100</v>
      </c>
      <c r="E67" s="94"/>
      <c r="F67" s="90">
        <f t="shared" si="6"/>
        <v>22100</v>
      </c>
      <c r="G67" s="999"/>
      <c r="H67" s="521"/>
    </row>
    <row r="68" spans="1:8">
      <c r="A68" s="96" t="s">
        <v>148</v>
      </c>
      <c r="B68" s="19" t="s">
        <v>157</v>
      </c>
      <c r="C68" s="89">
        <v>243334</v>
      </c>
      <c r="D68" s="94">
        <v>16600</v>
      </c>
      <c r="E68" s="94"/>
      <c r="F68" s="90">
        <f t="shared" si="6"/>
        <v>16600</v>
      </c>
      <c r="G68" s="998"/>
      <c r="H68" s="521"/>
    </row>
    <row r="69" spans="1:8">
      <c r="A69" s="96"/>
      <c r="B69" s="18"/>
      <c r="C69" s="67"/>
      <c r="D69" s="90">
        <v>-33576</v>
      </c>
      <c r="E69" s="98"/>
      <c r="F69" s="21">
        <f t="shared" si="6"/>
        <v>-33576</v>
      </c>
      <c r="G69" s="21"/>
      <c r="H69" s="21"/>
    </row>
    <row r="70" spans="1:8" ht="27" customHeight="1">
      <c r="A70" s="99"/>
      <c r="B70" s="100"/>
      <c r="C70" s="101"/>
      <c r="D70" s="102">
        <f>SUM(D59:D69)</f>
        <v>306224</v>
      </c>
      <c r="E70" s="102">
        <f>SUM(E59:E69)</f>
        <v>306224</v>
      </c>
      <c r="F70" s="102">
        <f>SUM(F59:F69)</f>
        <v>0</v>
      </c>
      <c r="G70" s="103"/>
      <c r="H70" s="103"/>
    </row>
    <row r="71" spans="1:8">
      <c r="A71" s="109" t="s">
        <v>151</v>
      </c>
      <c r="B71" s="18"/>
      <c r="C71" s="67"/>
      <c r="D71" s="21"/>
      <c r="E71" s="98"/>
      <c r="F71" s="21"/>
      <c r="G71" s="21"/>
      <c r="H71" s="21"/>
    </row>
    <row r="72" spans="1:8">
      <c r="A72" s="97" t="s">
        <v>152</v>
      </c>
      <c r="B72" s="526" t="s">
        <v>142</v>
      </c>
      <c r="C72" s="67"/>
      <c r="D72" s="21"/>
      <c r="E72" s="98"/>
      <c r="F72" s="21"/>
      <c r="G72" s="21"/>
      <c r="H72" s="21"/>
    </row>
    <row r="73" spans="1:8" ht="44.25" customHeight="1">
      <c r="A73" s="96" t="s">
        <v>153</v>
      </c>
      <c r="B73" s="19" t="s">
        <v>181</v>
      </c>
      <c r="C73" s="89">
        <v>243187</v>
      </c>
      <c r="D73" s="94">
        <v>14357100</v>
      </c>
      <c r="E73" s="1013">
        <f>'เบิกจ่าย 2566'!I19+'เบิกจ่าย 2566'!J19+'เบิกจ่าย 2566'!K19</f>
        <v>29447864.490000002</v>
      </c>
      <c r="F73" s="1013">
        <f>D73+D74+D76+D75-E73</f>
        <v>1025457.5099999979</v>
      </c>
      <c r="G73" s="21" t="s">
        <v>161</v>
      </c>
      <c r="H73" s="21" t="s">
        <v>204</v>
      </c>
    </row>
    <row r="74" spans="1:8">
      <c r="A74" s="96" t="s">
        <v>244</v>
      </c>
      <c r="B74" s="19" t="s">
        <v>181</v>
      </c>
      <c r="C74" s="89">
        <v>243200</v>
      </c>
      <c r="D74" s="527">
        <v>973100</v>
      </c>
      <c r="E74" s="1015"/>
      <c r="F74" s="1015"/>
      <c r="G74" s="21" t="s">
        <v>209</v>
      </c>
      <c r="H74" s="21" t="s">
        <v>204</v>
      </c>
    </row>
    <row r="75" spans="1:8" s="4" customFormat="1">
      <c r="A75" s="96" t="s">
        <v>1256</v>
      </c>
      <c r="B75" s="19" t="s">
        <v>181</v>
      </c>
      <c r="C75" s="89">
        <v>243305</v>
      </c>
      <c r="D75" s="94">
        <v>11656632</v>
      </c>
      <c r="E75" s="1015"/>
      <c r="F75" s="1015"/>
      <c r="G75" s="21"/>
      <c r="H75" s="21"/>
    </row>
    <row r="76" spans="1:8">
      <c r="A76" s="415" t="s">
        <v>1444</v>
      </c>
      <c r="B76" s="411"/>
      <c r="C76" s="152">
        <v>239774</v>
      </c>
      <c r="D76" s="737">
        <v>3486490</v>
      </c>
      <c r="E76" s="1014"/>
      <c r="F76" s="1014"/>
      <c r="G76" s="21" t="s">
        <v>1445</v>
      </c>
      <c r="H76" s="21"/>
    </row>
    <row r="77" spans="1:8" ht="42">
      <c r="A77" s="114" t="s">
        <v>177</v>
      </c>
      <c r="B77" s="19" t="s">
        <v>181</v>
      </c>
      <c r="C77" s="89" t="s">
        <v>174</v>
      </c>
      <c r="D77" s="94">
        <v>67700</v>
      </c>
      <c r="E77" s="1013">
        <f>'เบิกจ่าย 2566'!P19</f>
        <v>117600</v>
      </c>
      <c r="F77" s="1013">
        <f>D77+D78-E77</f>
        <v>0</v>
      </c>
      <c r="G77" s="561" t="s">
        <v>193</v>
      </c>
      <c r="H77" s="562" t="s">
        <v>204</v>
      </c>
    </row>
    <row r="78" spans="1:8" ht="42">
      <c r="A78" s="415" t="s">
        <v>1305</v>
      </c>
      <c r="B78" s="19" t="s">
        <v>181</v>
      </c>
      <c r="C78" s="89" t="s">
        <v>1291</v>
      </c>
      <c r="D78" s="94">
        <v>49900</v>
      </c>
      <c r="E78" s="1014"/>
      <c r="F78" s="1014"/>
      <c r="G78" s="21" t="s">
        <v>1307</v>
      </c>
      <c r="H78" s="21"/>
    </row>
    <row r="79" spans="1:8" ht="54" customHeight="1">
      <c r="A79" s="114" t="s">
        <v>182</v>
      </c>
      <c r="B79" s="19" t="s">
        <v>181</v>
      </c>
      <c r="C79" s="89" t="s">
        <v>174</v>
      </c>
      <c r="D79" s="94">
        <v>240000</v>
      </c>
      <c r="E79" s="1013">
        <f>'เบิกจ่าย 2566'!O19</f>
        <v>415000</v>
      </c>
      <c r="F79" s="1013">
        <f>D79+D80-E79</f>
        <v>65000</v>
      </c>
      <c r="G79" s="21" t="s">
        <v>1307</v>
      </c>
      <c r="H79" s="564"/>
    </row>
    <row r="80" spans="1:8" ht="42">
      <c r="A80" s="415" t="s">
        <v>1371</v>
      </c>
      <c r="B80" s="19" t="s">
        <v>181</v>
      </c>
      <c r="C80" s="89" t="s">
        <v>1291</v>
      </c>
      <c r="D80" s="94">
        <v>240000</v>
      </c>
      <c r="E80" s="1014"/>
      <c r="F80" s="1014"/>
      <c r="G80" s="21" t="s">
        <v>1306</v>
      </c>
      <c r="H80" s="21"/>
    </row>
    <row r="81" spans="1:8" ht="48" customHeight="1">
      <c r="A81" s="96" t="s">
        <v>189</v>
      </c>
      <c r="B81" s="19" t="s">
        <v>181</v>
      </c>
      <c r="C81" s="89" t="s">
        <v>174</v>
      </c>
      <c r="D81" s="126">
        <v>63000</v>
      </c>
      <c r="E81" s="1013">
        <f>'เบิกจ่าย 2566'!M19</f>
        <v>112500</v>
      </c>
      <c r="F81" s="1013">
        <f>D81+D82-E81</f>
        <v>3000</v>
      </c>
      <c r="G81" s="132" t="s">
        <v>209</v>
      </c>
      <c r="H81" s="562" t="s">
        <v>204</v>
      </c>
    </row>
    <row r="82" spans="1:8" ht="42">
      <c r="A82" s="415" t="s">
        <v>1300</v>
      </c>
      <c r="B82" s="19" t="s">
        <v>181</v>
      </c>
      <c r="C82" s="89" t="s">
        <v>1292</v>
      </c>
      <c r="D82" s="94">
        <v>52500</v>
      </c>
      <c r="E82" s="1014"/>
      <c r="F82" s="1014"/>
      <c r="G82" s="132" t="s">
        <v>1302</v>
      </c>
      <c r="H82" s="21"/>
    </row>
    <row r="83" spans="1:8" ht="54.75" customHeight="1">
      <c r="A83" s="96" t="s">
        <v>192</v>
      </c>
      <c r="B83" s="19" t="s">
        <v>181</v>
      </c>
      <c r="C83" s="89" t="s">
        <v>174</v>
      </c>
      <c r="D83" s="126">
        <v>60000</v>
      </c>
      <c r="E83" s="1013">
        <f>'เบิกจ่าย 2566'!L19</f>
        <v>113600</v>
      </c>
      <c r="F83" s="1013">
        <f>D83+D84-E83</f>
        <v>-3600</v>
      </c>
      <c r="G83" s="571" t="s">
        <v>209</v>
      </c>
      <c r="H83" s="563"/>
    </row>
    <row r="84" spans="1:8" ht="42">
      <c r="A84" s="415" t="s">
        <v>1301</v>
      </c>
      <c r="B84" s="19" t="s">
        <v>181</v>
      </c>
      <c r="C84" s="89" t="s">
        <v>1292</v>
      </c>
      <c r="D84" s="94">
        <v>50000</v>
      </c>
      <c r="E84" s="1014"/>
      <c r="F84" s="1014"/>
      <c r="G84" s="132" t="s">
        <v>1302</v>
      </c>
      <c r="H84" s="21"/>
    </row>
    <row r="85" spans="1:8" ht="42">
      <c r="A85" s="415" t="s">
        <v>1423</v>
      </c>
      <c r="B85" s="19"/>
      <c r="C85" s="89">
        <v>243404</v>
      </c>
      <c r="D85" s="94">
        <v>9000</v>
      </c>
      <c r="E85" s="276"/>
      <c r="F85" s="276">
        <f>D85-E85</f>
        <v>9000</v>
      </c>
      <c r="G85" s="747" t="s">
        <v>1474</v>
      </c>
      <c r="H85" s="21"/>
    </row>
    <row r="86" spans="1:8" ht="41.25" customHeight="1">
      <c r="A86" s="96" t="s">
        <v>187</v>
      </c>
      <c r="B86" s="19" t="s">
        <v>181</v>
      </c>
      <c r="C86" s="89" t="s">
        <v>175</v>
      </c>
      <c r="D86" s="126">
        <v>114976</v>
      </c>
      <c r="E86" s="1013">
        <f>'เบิกจ่าย 2566'!E19</f>
        <v>255816</v>
      </c>
      <c r="F86" s="1013">
        <f>D86+D87+D88-E86</f>
        <v>-118808</v>
      </c>
      <c r="G86" s="571" t="s">
        <v>209</v>
      </c>
      <c r="H86" s="563"/>
    </row>
    <row r="87" spans="1:8" ht="42">
      <c r="A87" s="96" t="s">
        <v>185</v>
      </c>
      <c r="B87" s="19" t="s">
        <v>181</v>
      </c>
      <c r="C87" s="89" t="s">
        <v>175</v>
      </c>
      <c r="D87" s="126">
        <v>14832</v>
      </c>
      <c r="E87" s="1015"/>
      <c r="F87" s="1015"/>
      <c r="G87" s="571" t="s">
        <v>209</v>
      </c>
      <c r="H87" s="563"/>
    </row>
    <row r="88" spans="1:8" ht="43.5" customHeight="1">
      <c r="A88" s="96" t="s">
        <v>188</v>
      </c>
      <c r="B88" s="19" t="s">
        <v>181</v>
      </c>
      <c r="C88" s="89" t="s">
        <v>175</v>
      </c>
      <c r="D88" s="126">
        <v>7200</v>
      </c>
      <c r="E88" s="1014"/>
      <c r="F88" s="1014"/>
      <c r="G88" s="571" t="s">
        <v>209</v>
      </c>
      <c r="H88" s="563"/>
    </row>
    <row r="89" spans="1:8" ht="60.75" customHeight="1">
      <c r="A89" s="9" t="s">
        <v>190</v>
      </c>
      <c r="B89" s="19" t="s">
        <v>181</v>
      </c>
      <c r="C89" s="89" t="s">
        <v>175</v>
      </c>
      <c r="D89" s="126">
        <v>128180</v>
      </c>
      <c r="E89" s="1013">
        <f>'เบิกจ่าย 2566'!F19</f>
        <v>261967</v>
      </c>
      <c r="F89" s="1013">
        <f>D89+D90+D91+D92-E89</f>
        <v>-5202</v>
      </c>
      <c r="G89" s="571" t="s">
        <v>209</v>
      </c>
      <c r="H89" s="563"/>
    </row>
    <row r="90" spans="1:8" ht="42">
      <c r="A90" s="96" t="s">
        <v>186</v>
      </c>
      <c r="B90" s="19" t="s">
        <v>181</v>
      </c>
      <c r="C90" s="89" t="s">
        <v>175</v>
      </c>
      <c r="D90" s="126">
        <v>864</v>
      </c>
      <c r="E90" s="1015"/>
      <c r="F90" s="1015"/>
      <c r="G90" s="571" t="s">
        <v>209</v>
      </c>
      <c r="H90" s="563"/>
    </row>
    <row r="91" spans="1:8" ht="42">
      <c r="A91" s="415" t="s">
        <v>1298</v>
      </c>
      <c r="B91" s="19" t="s">
        <v>181</v>
      </c>
      <c r="C91" s="89" t="s">
        <v>1293</v>
      </c>
      <c r="D91" s="94">
        <v>120221</v>
      </c>
      <c r="E91" s="1015"/>
      <c r="F91" s="1015"/>
      <c r="G91" s="132" t="s">
        <v>1302</v>
      </c>
      <c r="H91" s="21"/>
    </row>
    <row r="92" spans="1:8" ht="42">
      <c r="A92" s="415" t="s">
        <v>1297</v>
      </c>
      <c r="B92" s="19" t="s">
        <v>181</v>
      </c>
      <c r="C92" s="89" t="s">
        <v>1293</v>
      </c>
      <c r="D92" s="94">
        <v>7500</v>
      </c>
      <c r="E92" s="1014"/>
      <c r="F92" s="1014"/>
      <c r="G92" s="132" t="s">
        <v>1302</v>
      </c>
      <c r="H92" s="21"/>
    </row>
    <row r="93" spans="1:8" ht="42">
      <c r="A93" s="96" t="s">
        <v>191</v>
      </c>
      <c r="B93" s="19" t="s">
        <v>181</v>
      </c>
      <c r="C93" s="89" t="s">
        <v>175</v>
      </c>
      <c r="D93" s="126">
        <v>16116</v>
      </c>
      <c r="E93" s="1013">
        <f>'เบิกจ่าย 2566'!H19</f>
        <v>20977</v>
      </c>
      <c r="F93" s="1013">
        <f>D93+D94-E93</f>
        <v>126056</v>
      </c>
      <c r="G93" s="133" t="s">
        <v>209</v>
      </c>
      <c r="H93" s="564"/>
    </row>
    <row r="94" spans="1:8" ht="42">
      <c r="A94" s="415" t="s">
        <v>1299</v>
      </c>
      <c r="B94" s="19" t="s">
        <v>181</v>
      </c>
      <c r="C94" s="89" t="s">
        <v>1293</v>
      </c>
      <c r="D94" s="94">
        <v>130917</v>
      </c>
      <c r="E94" s="1014"/>
      <c r="F94" s="1014"/>
      <c r="G94" s="132" t="s">
        <v>1302</v>
      </c>
      <c r="H94" s="21"/>
    </row>
    <row r="95" spans="1:8" ht="42">
      <c r="A95" s="415" t="s">
        <v>1419</v>
      </c>
      <c r="B95" s="19"/>
      <c r="C95" s="89">
        <v>243403</v>
      </c>
      <c r="D95" s="94">
        <v>11250</v>
      </c>
      <c r="E95" s="276"/>
      <c r="F95" s="276">
        <f>D95-E95</f>
        <v>11250</v>
      </c>
      <c r="G95" s="132"/>
      <c r="H95" s="21"/>
    </row>
    <row r="96" spans="1:8" ht="42">
      <c r="A96" s="415" t="s">
        <v>1420</v>
      </c>
      <c r="B96" s="19"/>
      <c r="C96" s="89" t="s">
        <v>1418</v>
      </c>
      <c r="D96" s="94">
        <v>8250</v>
      </c>
      <c r="E96" s="276"/>
      <c r="F96" s="276">
        <f>D96-E96</f>
        <v>8250</v>
      </c>
      <c r="G96" s="132"/>
      <c r="H96" s="21"/>
    </row>
    <row r="97" spans="1:8" ht="30.75" customHeight="1">
      <c r="A97" s="96" t="s">
        <v>1024</v>
      </c>
      <c r="B97" s="19" t="s">
        <v>181</v>
      </c>
      <c r="C97" s="89">
        <v>243230</v>
      </c>
      <c r="D97" s="94">
        <v>12375605</v>
      </c>
      <c r="E97" s="1013">
        <f>'เบิกจ่าย 2566'!N19</f>
        <v>24751204</v>
      </c>
      <c r="F97" s="1013">
        <f>D97+D98-E97</f>
        <v>0</v>
      </c>
      <c r="G97" s="21" t="s">
        <v>1025</v>
      </c>
      <c r="H97" s="21"/>
    </row>
    <row r="98" spans="1:8" s="4" customFormat="1" ht="30.75" customHeight="1">
      <c r="A98" s="96" t="s">
        <v>1257</v>
      </c>
      <c r="B98" s="19" t="s">
        <v>181</v>
      </c>
      <c r="C98" s="89">
        <v>243305</v>
      </c>
      <c r="D98" s="94">
        <v>12375599</v>
      </c>
      <c r="E98" s="1014"/>
      <c r="F98" s="1014"/>
      <c r="G98" s="21" t="s">
        <v>1255</v>
      </c>
      <c r="H98" s="21"/>
    </row>
    <row r="99" spans="1:8" s="4" customFormat="1" ht="30.75" customHeight="1">
      <c r="A99" s="96"/>
      <c r="B99" s="19"/>
      <c r="C99" s="89"/>
      <c r="D99" s="94">
        <v>-1025457.51</v>
      </c>
      <c r="E99" s="965"/>
      <c r="F99" s="965"/>
      <c r="G99" s="21"/>
      <c r="H99" s="21"/>
    </row>
    <row r="100" spans="1:8" ht="27" customHeight="1">
      <c r="A100" s="99"/>
      <c r="B100" s="100"/>
      <c r="C100" s="101"/>
      <c r="D100" s="102">
        <f>SUM(D73:D99)</f>
        <v>55591474.490000002</v>
      </c>
      <c r="E100" s="102">
        <f>SUM(E73:E98)</f>
        <v>55496528.490000002</v>
      </c>
      <c r="F100" s="102">
        <f>SUM(F73:F98)</f>
        <v>1120403.5099999979</v>
      </c>
      <c r="G100" s="103"/>
      <c r="H100" s="103"/>
    </row>
    <row r="101" spans="1:8" ht="23.25">
      <c r="A101" s="524" t="s">
        <v>178</v>
      </c>
      <c r="B101" s="18"/>
      <c r="C101" s="67"/>
      <c r="D101" s="21"/>
      <c r="E101" s="98"/>
      <c r="F101" s="21"/>
      <c r="G101" s="21"/>
      <c r="H101" s="21"/>
    </row>
    <row r="102" spans="1:8">
      <c r="A102" s="113" t="s">
        <v>179</v>
      </c>
      <c r="B102" s="526" t="s">
        <v>176</v>
      </c>
      <c r="C102" s="67"/>
      <c r="D102" s="90"/>
      <c r="E102" s="98"/>
      <c r="F102" s="21"/>
      <c r="G102" s="21"/>
      <c r="H102" s="21"/>
    </row>
    <row r="103" spans="1:8" ht="42">
      <c r="A103" s="114" t="s">
        <v>184</v>
      </c>
      <c r="B103" s="525" t="s">
        <v>180</v>
      </c>
      <c r="C103" s="89">
        <v>243193</v>
      </c>
      <c r="D103" s="94">
        <v>927000</v>
      </c>
      <c r="E103" s="1008">
        <f>'เบิกจ่าย 2566'!AA19</f>
        <v>1800887.6</v>
      </c>
      <c r="F103" s="1008">
        <f>D103+D104+D105-E103</f>
        <v>362.39999999990687</v>
      </c>
      <c r="G103" s="132" t="s">
        <v>194</v>
      </c>
      <c r="H103" s="132"/>
    </row>
    <row r="104" spans="1:8" ht="42">
      <c r="A104" s="114" t="s">
        <v>1308</v>
      </c>
      <c r="B104" s="525" t="s">
        <v>180</v>
      </c>
      <c r="C104" s="89">
        <v>242968</v>
      </c>
      <c r="D104" s="94">
        <v>97450</v>
      </c>
      <c r="E104" s="1012"/>
      <c r="F104" s="1012"/>
      <c r="G104" s="520" t="s">
        <v>1379</v>
      </c>
      <c r="H104" s="520"/>
    </row>
    <row r="105" spans="1:8" ht="42">
      <c r="A105" s="114" t="s">
        <v>1450</v>
      </c>
      <c r="B105" s="525" t="s">
        <v>180</v>
      </c>
      <c r="C105" s="152">
        <v>243446</v>
      </c>
      <c r="D105" s="765">
        <v>776800</v>
      </c>
      <c r="E105" s="1009"/>
      <c r="F105" s="1009"/>
      <c r="G105" s="21" t="s">
        <v>1459</v>
      </c>
      <c r="H105" s="21"/>
    </row>
    <row r="106" spans="1:8" ht="42">
      <c r="A106" s="114" t="s">
        <v>183</v>
      </c>
      <c r="B106" s="525" t="s">
        <v>180</v>
      </c>
      <c r="C106" s="89">
        <v>243193</v>
      </c>
      <c r="D106" s="94">
        <v>107148</v>
      </c>
      <c r="E106" s="783">
        <v>0</v>
      </c>
      <c r="F106" s="783">
        <f>D106-E106</f>
        <v>107148</v>
      </c>
      <c r="G106" s="132" t="s">
        <v>194</v>
      </c>
      <c r="H106" s="133"/>
    </row>
    <row r="107" spans="1:8">
      <c r="A107" s="114"/>
      <c r="B107" s="525"/>
      <c r="C107" s="89"/>
      <c r="D107" s="94">
        <v>-107510.39999999999</v>
      </c>
      <c r="E107" s="783"/>
      <c r="F107" s="885">
        <v>-1025457.51</v>
      </c>
      <c r="G107" s="132"/>
      <c r="H107" s="133"/>
    </row>
    <row r="108" spans="1:8" ht="27" customHeight="1">
      <c r="A108" s="99"/>
      <c r="B108" s="100"/>
      <c r="C108" s="101"/>
      <c r="D108" s="102">
        <f>SUM(D103:D107)</f>
        <v>1800887.6</v>
      </c>
      <c r="E108" s="102">
        <f>SUM(E103:E105)</f>
        <v>1800887.6</v>
      </c>
      <c r="F108" s="102">
        <f>D108-E108</f>
        <v>0</v>
      </c>
      <c r="G108" s="103"/>
      <c r="H108" s="103"/>
    </row>
    <row r="109" spans="1:8">
      <c r="A109" s="96"/>
      <c r="B109" s="18"/>
      <c r="C109" s="67"/>
      <c r="D109" s="94"/>
      <c r="E109" s="98"/>
      <c r="F109" s="21"/>
      <c r="G109" s="21"/>
      <c r="H109" s="21"/>
    </row>
    <row r="110" spans="1:8">
      <c r="A110" s="156" t="s">
        <v>268</v>
      </c>
      <c r="B110" s="18"/>
      <c r="C110" s="67"/>
      <c r="D110" s="94"/>
      <c r="E110" s="98"/>
      <c r="F110" s="21"/>
      <c r="G110" s="21"/>
      <c r="H110" s="21"/>
    </row>
    <row r="111" spans="1:8">
      <c r="A111" s="159" t="s">
        <v>269</v>
      </c>
      <c r="B111" s="525" t="s">
        <v>250</v>
      </c>
      <c r="C111" s="67"/>
      <c r="D111" s="94"/>
      <c r="E111" s="98"/>
      <c r="F111" s="21"/>
      <c r="G111" s="21"/>
      <c r="H111" s="21"/>
    </row>
    <row r="112" spans="1:8">
      <c r="A112" s="96" t="s">
        <v>270</v>
      </c>
      <c r="B112" s="525" t="s">
        <v>267</v>
      </c>
      <c r="C112" s="89">
        <v>243217</v>
      </c>
      <c r="D112" s="528">
        <v>80000</v>
      </c>
      <c r="E112" s="262">
        <f>'เบิกจ่าย 2566'!AG19+'เบิกจ่ายไตรมาส 3-4'!F89</f>
        <v>188294</v>
      </c>
      <c r="F112" s="69">
        <f>D112-E112</f>
        <v>-108294</v>
      </c>
      <c r="G112" s="21" t="s">
        <v>1035</v>
      </c>
      <c r="H112" s="21" t="s">
        <v>1212</v>
      </c>
    </row>
    <row r="113" spans="1:8">
      <c r="A113" s="96" t="s">
        <v>270</v>
      </c>
      <c r="B113" s="525" t="s">
        <v>267</v>
      </c>
      <c r="C113" s="152">
        <v>243460</v>
      </c>
      <c r="D113" s="798">
        <v>108300</v>
      </c>
      <c r="E113" s="262"/>
      <c r="F113" s="69">
        <f>D113-E113</f>
        <v>108300</v>
      </c>
      <c r="G113" s="21" t="s">
        <v>1470</v>
      </c>
      <c r="H113" s="21"/>
    </row>
    <row r="114" spans="1:8">
      <c r="A114" s="96"/>
      <c r="B114" s="525"/>
      <c r="C114" s="89"/>
      <c r="D114" s="529">
        <v>-6</v>
      </c>
      <c r="E114" s="98"/>
      <c r="F114" s="21"/>
      <c r="G114" s="21"/>
      <c r="H114" s="21"/>
    </row>
    <row r="115" spans="1:8" ht="27" customHeight="1">
      <c r="A115" s="99"/>
      <c r="B115" s="100"/>
      <c r="C115" s="101"/>
      <c r="D115" s="102">
        <f>SUM(D112:D114)</f>
        <v>188294</v>
      </c>
      <c r="E115" s="102">
        <f>SUM(E112:E114)</f>
        <v>188294</v>
      </c>
      <c r="F115" s="102">
        <f>SUM(F112:F114)</f>
        <v>6</v>
      </c>
      <c r="G115" s="103"/>
      <c r="H115" s="103"/>
    </row>
    <row r="116" spans="1:8">
      <c r="A116" s="156" t="s">
        <v>271</v>
      </c>
      <c r="E116" s="98"/>
      <c r="F116" s="21"/>
      <c r="G116" s="21"/>
      <c r="H116" s="21"/>
    </row>
    <row r="117" spans="1:8">
      <c r="A117" s="159" t="s">
        <v>272</v>
      </c>
      <c r="B117" s="525" t="s">
        <v>251</v>
      </c>
      <c r="C117" s="89"/>
      <c r="D117" s="529"/>
      <c r="E117" s="98"/>
      <c r="F117" s="21"/>
      <c r="G117" s="21"/>
      <c r="H117" s="21"/>
    </row>
    <row r="118" spans="1:8" ht="24.75" customHeight="1">
      <c r="A118" s="160" t="s">
        <v>273</v>
      </c>
      <c r="B118" s="525" t="s">
        <v>274</v>
      </c>
      <c r="C118" s="89">
        <v>243216</v>
      </c>
      <c r="D118" s="528">
        <v>159000</v>
      </c>
      <c r="E118" s="94">
        <f>54000+102987.5</f>
        <v>156987.5</v>
      </c>
      <c r="F118" s="69">
        <f>D118-E118</f>
        <v>2012.5</v>
      </c>
      <c r="G118" s="21" t="s">
        <v>1034</v>
      </c>
      <c r="H118" s="21"/>
    </row>
    <row r="119" spans="1:8" ht="24.75" customHeight="1">
      <c r="A119" s="160" t="s">
        <v>273</v>
      </c>
      <c r="B119" s="525" t="s">
        <v>274</v>
      </c>
      <c r="C119" s="89">
        <v>243358</v>
      </c>
      <c r="D119" s="528">
        <v>29200</v>
      </c>
      <c r="E119" s="565">
        <v>0</v>
      </c>
      <c r="F119" s="69">
        <f>D119-E119</f>
        <v>29200</v>
      </c>
      <c r="G119" s="21" t="s">
        <v>1370</v>
      </c>
      <c r="H119" s="21" t="s">
        <v>1387</v>
      </c>
    </row>
    <row r="120" spans="1:8" ht="24.75" customHeight="1">
      <c r="A120" s="160" t="s">
        <v>273</v>
      </c>
      <c r="B120" s="525" t="s">
        <v>274</v>
      </c>
      <c r="C120" s="152">
        <v>243460</v>
      </c>
      <c r="D120" s="798">
        <v>85000</v>
      </c>
      <c r="E120" s="262">
        <f>'เบิกจ่ายไตรมาส 3-4'!F93</f>
        <v>115840</v>
      </c>
      <c r="F120" s="69">
        <f>D120-E120</f>
        <v>-30840</v>
      </c>
      <c r="G120" s="21" t="s">
        <v>1471</v>
      </c>
      <c r="H120" s="21"/>
    </row>
    <row r="121" spans="1:8" ht="24.75" customHeight="1">
      <c r="A121" s="160"/>
      <c r="B121" s="525"/>
      <c r="C121" s="152"/>
      <c r="D121" s="798">
        <v>-372.5</v>
      </c>
      <c r="E121" s="262"/>
      <c r="F121" s="69"/>
      <c r="G121" s="21"/>
      <c r="H121" s="21"/>
    </row>
    <row r="122" spans="1:8" ht="27" customHeight="1">
      <c r="A122" s="99"/>
      <c r="B122" s="100"/>
      <c r="C122" s="101"/>
      <c r="D122" s="102">
        <f>SUM(D118:D121)</f>
        <v>272827.5</v>
      </c>
      <c r="E122" s="102">
        <f t="shared" ref="E122:F122" si="7">SUM(E118:E120)</f>
        <v>272827.5</v>
      </c>
      <c r="F122" s="102">
        <f t="shared" si="7"/>
        <v>372.5</v>
      </c>
      <c r="G122" s="103"/>
      <c r="H122" s="103"/>
    </row>
    <row r="123" spans="1:8">
      <c r="A123" s="96"/>
      <c r="B123" s="18"/>
      <c r="C123" s="67"/>
      <c r="D123" s="94"/>
      <c r="E123" s="98"/>
      <c r="F123" s="21"/>
      <c r="G123" s="21"/>
      <c r="H123" s="21"/>
    </row>
    <row r="124" spans="1:8">
      <c r="A124" s="96"/>
      <c r="B124" s="18"/>
      <c r="C124" s="67"/>
      <c r="D124" s="94">
        <v>0.3</v>
      </c>
      <c r="E124" s="98"/>
      <c r="F124" s="21"/>
      <c r="G124" s="21"/>
      <c r="H124" s="21"/>
    </row>
    <row r="125" spans="1:8" s="243" customFormat="1">
      <c r="A125" s="117" t="s">
        <v>8</v>
      </c>
      <c r="B125" s="118" t="s">
        <v>119</v>
      </c>
      <c r="C125" s="118" t="s">
        <v>120</v>
      </c>
      <c r="D125" s="119" t="s">
        <v>121</v>
      </c>
      <c r="E125" s="120" t="s">
        <v>79</v>
      </c>
      <c r="F125" s="121" t="s">
        <v>122</v>
      </c>
      <c r="G125" s="121" t="s">
        <v>123</v>
      </c>
      <c r="H125" s="121"/>
    </row>
    <row r="126" spans="1:8">
      <c r="A126" s="66" t="s">
        <v>124</v>
      </c>
      <c r="B126" s="18"/>
      <c r="C126" s="67"/>
      <c r="D126" s="20"/>
      <c r="E126" s="20"/>
      <c r="F126" s="68"/>
      <c r="G126" s="69"/>
      <c r="H126" s="69"/>
    </row>
    <row r="127" spans="1:8">
      <c r="A127" s="70" t="s">
        <v>73</v>
      </c>
      <c r="B127" s="18"/>
      <c r="C127" s="67"/>
      <c r="D127" s="21"/>
      <c r="E127" s="98"/>
      <c r="F127" s="21"/>
      <c r="G127" s="21"/>
      <c r="H127" s="21"/>
    </row>
    <row r="128" spans="1:8" ht="42.75" customHeight="1">
      <c r="A128" s="124" t="s">
        <v>198</v>
      </c>
      <c r="B128" s="18"/>
      <c r="C128" s="67"/>
      <c r="D128" s="21"/>
      <c r="E128" s="98"/>
      <c r="F128" s="21"/>
      <c r="G128" s="21"/>
      <c r="H128" s="21"/>
    </row>
    <row r="129" spans="1:8" ht="42">
      <c r="A129" s="112" t="s">
        <v>172</v>
      </c>
      <c r="B129" s="10" t="s">
        <v>167</v>
      </c>
      <c r="C129" s="530">
        <v>243192</v>
      </c>
      <c r="D129" s="90">
        <v>200780500</v>
      </c>
      <c r="E129" s="531">
        <f>ค่าเสี่ยงภัย!N251</f>
        <v>165691431.75</v>
      </c>
      <c r="F129" s="69">
        <f>D129-E129</f>
        <v>35089068.25</v>
      </c>
      <c r="G129" s="21"/>
      <c r="H129" s="21"/>
    </row>
    <row r="130" spans="1:8" ht="42">
      <c r="A130" s="112" t="s">
        <v>1026</v>
      </c>
      <c r="B130" s="10" t="s">
        <v>167</v>
      </c>
      <c r="C130" s="89">
        <v>243232</v>
      </c>
      <c r="D130" s="94">
        <v>-35089068.25</v>
      </c>
      <c r="E130" s="565">
        <v>0</v>
      </c>
      <c r="F130" s="69">
        <f>D130-E130</f>
        <v>-35089068.25</v>
      </c>
      <c r="G130" s="21"/>
      <c r="H130" s="21"/>
    </row>
    <row r="131" spans="1:8" ht="27" customHeight="1">
      <c r="A131" s="99"/>
      <c r="B131" s="100"/>
      <c r="C131" s="101"/>
      <c r="D131" s="102">
        <f>SUM(D129:D130)</f>
        <v>165691431.75</v>
      </c>
      <c r="E131" s="102">
        <f>SUM(E129:E130)</f>
        <v>165691431.75</v>
      </c>
      <c r="F131" s="102">
        <f>SUM(F129:F130)</f>
        <v>0</v>
      </c>
      <c r="G131" s="103"/>
      <c r="H131" s="103"/>
    </row>
    <row r="132" spans="1:8">
      <c r="A132" s="9" t="s">
        <v>173</v>
      </c>
      <c r="B132" s="19" t="s">
        <v>171</v>
      </c>
      <c r="C132" s="530">
        <v>243192</v>
      </c>
      <c r="D132" s="14">
        <v>3805000</v>
      </c>
      <c r="E132" s="531">
        <f>วัคชีค!H16</f>
        <v>3804337.5</v>
      </c>
      <c r="F132" s="49">
        <f>D132-E132</f>
        <v>662.5</v>
      </c>
      <c r="G132" s="21"/>
      <c r="H132" s="21"/>
    </row>
    <row r="133" spans="1:8" ht="42">
      <c r="A133" s="9" t="s">
        <v>1027</v>
      </c>
      <c r="B133" s="19" t="s">
        <v>171</v>
      </c>
      <c r="C133" s="89">
        <v>243230</v>
      </c>
      <c r="D133" s="94">
        <f>-662.5</f>
        <v>-662.5</v>
      </c>
      <c r="E133" s="565">
        <v>0</v>
      </c>
      <c r="F133" s="49">
        <f>D133-E133</f>
        <v>-662.5</v>
      </c>
      <c r="G133" s="21"/>
      <c r="H133" s="21"/>
    </row>
    <row r="134" spans="1:8" ht="27" customHeight="1">
      <c r="A134" s="99"/>
      <c r="B134" s="100"/>
      <c r="C134" s="101"/>
      <c r="D134" s="102">
        <f>SUM(D132:D133)</f>
        <v>3804337.5</v>
      </c>
      <c r="E134" s="102">
        <f>SUM(E132:E133)</f>
        <v>3804337.5</v>
      </c>
      <c r="F134" s="102">
        <f>SUM(F132:F133)</f>
        <v>0</v>
      </c>
      <c r="G134" s="103"/>
      <c r="H134" s="103"/>
    </row>
    <row r="135" spans="1:8" ht="27" customHeight="1">
      <c r="A135" s="123" t="s">
        <v>1454</v>
      </c>
      <c r="B135" s="18"/>
      <c r="C135" s="67"/>
      <c r="D135" s="69"/>
      <c r="E135" s="69"/>
      <c r="F135" s="69"/>
      <c r="G135" s="21"/>
      <c r="H135" s="21"/>
    </row>
    <row r="136" spans="1:8">
      <c r="A136" s="96" t="s">
        <v>125</v>
      </c>
      <c r="B136" s="18"/>
      <c r="C136" s="67"/>
      <c r="D136" s="94"/>
      <c r="E136" s="98"/>
      <c r="F136" s="21"/>
      <c r="G136" s="21"/>
      <c r="H136" s="21"/>
    </row>
    <row r="137" spans="1:8">
      <c r="A137" s="96" t="s">
        <v>1455</v>
      </c>
      <c r="B137" s="19" t="s">
        <v>1451</v>
      </c>
      <c r="C137" s="89"/>
      <c r="G137" s="21"/>
      <c r="H137" s="21"/>
    </row>
    <row r="138" spans="1:8" ht="42">
      <c r="A138" s="96" t="s">
        <v>1456</v>
      </c>
      <c r="B138" s="19" t="s">
        <v>1457</v>
      </c>
      <c r="C138" s="89">
        <v>243451</v>
      </c>
      <c r="D138" s="94">
        <v>20000</v>
      </c>
      <c r="E138" s="565">
        <v>0</v>
      </c>
      <c r="F138" s="569">
        <v>0</v>
      </c>
      <c r="G138" s="21" t="s">
        <v>1458</v>
      </c>
      <c r="H138" s="21"/>
    </row>
    <row r="139" spans="1:8" ht="27" customHeight="1">
      <c r="A139" s="99"/>
      <c r="B139" s="100"/>
      <c r="C139" s="101"/>
      <c r="D139" s="102">
        <f>SUM(D138:D138)</f>
        <v>20000</v>
      </c>
      <c r="E139" s="102"/>
      <c r="F139" s="102"/>
      <c r="G139" s="103"/>
      <c r="H139" s="103"/>
    </row>
    <row r="140" spans="1:8" ht="27" customHeight="1">
      <c r="A140" s="123" t="s">
        <v>196</v>
      </c>
      <c r="B140" s="18"/>
      <c r="C140" s="67"/>
      <c r="D140" s="69"/>
      <c r="E140" s="69"/>
      <c r="F140" s="69"/>
      <c r="G140" s="21"/>
      <c r="H140" s="21"/>
    </row>
    <row r="141" spans="1:8">
      <c r="A141" s="96"/>
      <c r="B141" s="18"/>
      <c r="C141" s="67"/>
      <c r="D141" s="94"/>
      <c r="E141" s="98"/>
      <c r="F141" s="21"/>
      <c r="G141" s="21"/>
      <c r="H141" s="21"/>
    </row>
    <row r="142" spans="1:8">
      <c r="A142" s="96" t="s">
        <v>197</v>
      </c>
      <c r="B142" s="18" t="s">
        <v>195</v>
      </c>
      <c r="C142" s="89">
        <v>243196</v>
      </c>
      <c r="D142" s="94">
        <v>5000</v>
      </c>
      <c r="E142" s="565">
        <v>0</v>
      </c>
      <c r="F142" s="569">
        <v>0</v>
      </c>
      <c r="G142" s="21"/>
      <c r="H142" s="21" t="s">
        <v>1472</v>
      </c>
    </row>
    <row r="143" spans="1:8">
      <c r="A143" s="96"/>
      <c r="B143" s="18"/>
      <c r="C143" s="67"/>
      <c r="D143" s="94"/>
      <c r="E143" s="98"/>
      <c r="F143" s="21"/>
      <c r="G143" s="21"/>
      <c r="H143" s="21"/>
    </row>
    <row r="144" spans="1:8" ht="27" customHeight="1">
      <c r="A144" s="99"/>
      <c r="B144" s="100"/>
      <c r="C144" s="101"/>
      <c r="D144" s="102">
        <f>SUM(D142:D143)</f>
        <v>5000</v>
      </c>
      <c r="E144" s="102"/>
      <c r="F144" s="102"/>
      <c r="G144" s="103"/>
      <c r="H144" s="103"/>
    </row>
    <row r="145" spans="1:8">
      <c r="A145" s="123" t="s">
        <v>216</v>
      </c>
      <c r="B145" s="18"/>
      <c r="C145" s="67"/>
      <c r="D145" s="94"/>
      <c r="E145" s="98"/>
      <c r="F145" s="21"/>
      <c r="G145" s="21"/>
      <c r="H145" s="21"/>
    </row>
    <row r="146" spans="1:8">
      <c r="A146" s="134" t="s">
        <v>125</v>
      </c>
      <c r="B146" s="10" t="s">
        <v>215</v>
      </c>
      <c r="C146" s="67"/>
      <c r="D146" s="94"/>
      <c r="E146" s="98"/>
      <c r="F146" s="21"/>
      <c r="G146" s="21"/>
      <c r="H146" s="21"/>
    </row>
    <row r="147" spans="1:8">
      <c r="A147" s="37" t="s">
        <v>218</v>
      </c>
      <c r="B147" s="19" t="s">
        <v>217</v>
      </c>
      <c r="C147" s="89">
        <v>243206</v>
      </c>
      <c r="D147" s="94">
        <v>25000</v>
      </c>
      <c r="E147" s="94">
        <v>25000</v>
      </c>
      <c r="F147" s="570">
        <v>0</v>
      </c>
      <c r="G147" s="21" t="s">
        <v>1253</v>
      </c>
      <c r="H147" s="135" t="s">
        <v>219</v>
      </c>
    </row>
    <row r="148" spans="1:8">
      <c r="A148" s="37"/>
      <c r="B148" s="18"/>
      <c r="C148" s="89"/>
      <c r="D148" s="94"/>
      <c r="E148" s="98"/>
      <c r="F148" s="21"/>
      <c r="G148" s="21"/>
      <c r="H148" s="21"/>
    </row>
    <row r="149" spans="1:8" ht="27" customHeight="1">
      <c r="A149" s="99"/>
      <c r="B149" s="100"/>
      <c r="C149" s="101"/>
      <c r="D149" s="102">
        <f>SUM(D147:D148)</f>
        <v>25000</v>
      </c>
      <c r="E149" s="102">
        <f t="shared" ref="E149:F149" si="8">SUM(E147:E148)</f>
        <v>25000</v>
      </c>
      <c r="F149" s="102">
        <f t="shared" si="8"/>
        <v>0</v>
      </c>
      <c r="G149" s="103"/>
      <c r="H149" s="103"/>
    </row>
    <row r="150" spans="1:8">
      <c r="A150" s="105" t="s">
        <v>252</v>
      </c>
      <c r="B150" s="10" t="s">
        <v>248</v>
      </c>
      <c r="C150" s="67"/>
      <c r="D150" s="94"/>
      <c r="E150" s="98"/>
      <c r="F150" s="21"/>
      <c r="G150" s="21"/>
      <c r="H150" s="21"/>
    </row>
    <row r="151" spans="1:8" ht="42">
      <c r="A151" s="37" t="s">
        <v>258</v>
      </c>
      <c r="B151" s="155" t="s">
        <v>256</v>
      </c>
      <c r="C151" s="89">
        <v>243216</v>
      </c>
      <c r="D151" s="94">
        <v>10000</v>
      </c>
      <c r="E151" s="94"/>
      <c r="F151" s="69">
        <f>D151-E151</f>
        <v>10000</v>
      </c>
      <c r="G151" s="21"/>
      <c r="H151" s="21" t="s">
        <v>78</v>
      </c>
    </row>
    <row r="152" spans="1:8" ht="42">
      <c r="A152" s="37" t="s">
        <v>258</v>
      </c>
      <c r="B152" s="155" t="s">
        <v>256</v>
      </c>
      <c r="C152" s="89">
        <v>243322</v>
      </c>
      <c r="D152" s="94">
        <v>5000</v>
      </c>
      <c r="E152" s="568">
        <v>0</v>
      </c>
      <c r="F152" s="69">
        <f>D152-E152</f>
        <v>5000</v>
      </c>
      <c r="G152" s="21"/>
      <c r="H152" s="135" t="s">
        <v>1296</v>
      </c>
    </row>
    <row r="153" spans="1:8" ht="42">
      <c r="A153" s="37" t="s">
        <v>258</v>
      </c>
      <c r="B153" s="155" t="s">
        <v>256</v>
      </c>
      <c r="C153" s="152">
        <v>243459</v>
      </c>
      <c r="D153" s="413">
        <v>5000</v>
      </c>
      <c r="E153" s="568"/>
      <c r="F153" s="69">
        <f>D153-E153</f>
        <v>5000</v>
      </c>
      <c r="G153" s="21"/>
      <c r="H153" s="135" t="s">
        <v>1469</v>
      </c>
    </row>
    <row r="154" spans="1:8" ht="27" customHeight="1">
      <c r="A154" s="99"/>
      <c r="B154" s="100"/>
      <c r="C154" s="101"/>
      <c r="D154" s="102">
        <f>SUM(D151:D153)</f>
        <v>20000</v>
      </c>
      <c r="E154" s="102">
        <f t="shared" ref="E154:F154" si="9">SUM(E151:E153)</f>
        <v>0</v>
      </c>
      <c r="F154" s="102">
        <f t="shared" si="9"/>
        <v>20000</v>
      </c>
      <c r="G154" s="103"/>
      <c r="H154" s="103"/>
    </row>
    <row r="155" spans="1:8" ht="23.25">
      <c r="A155" s="95" t="s">
        <v>151</v>
      </c>
      <c r="B155" s="18"/>
      <c r="C155" s="67"/>
      <c r="D155" s="21"/>
      <c r="E155" s="98"/>
      <c r="F155" s="21"/>
      <c r="G155" s="21"/>
      <c r="H155" s="21"/>
    </row>
    <row r="156" spans="1:8">
      <c r="A156" s="105" t="s">
        <v>152</v>
      </c>
      <c r="B156" s="526" t="s">
        <v>1231</v>
      </c>
      <c r="C156" s="89"/>
      <c r="D156" s="90"/>
      <c r="E156" s="98"/>
      <c r="F156" s="21"/>
      <c r="G156" s="21"/>
      <c r="H156" s="21"/>
    </row>
    <row r="157" spans="1:8" s="4" customFormat="1">
      <c r="A157" s="9" t="s">
        <v>1232</v>
      </c>
      <c r="B157" s="19" t="s">
        <v>181</v>
      </c>
      <c r="C157" s="89">
        <v>243291</v>
      </c>
      <c r="D157" s="90">
        <v>4094660</v>
      </c>
      <c r="E157" s="1013">
        <v>10900850</v>
      </c>
      <c r="F157" s="1008">
        <f>D163-E157</f>
        <v>6531520</v>
      </c>
      <c r="G157" s="1003" t="s">
        <v>1234</v>
      </c>
      <c r="H157" s="21"/>
    </row>
    <row r="158" spans="1:8" s="4" customFormat="1">
      <c r="A158" s="9" t="s">
        <v>1233</v>
      </c>
      <c r="B158" s="19" t="s">
        <v>181</v>
      </c>
      <c r="C158" s="89">
        <v>243291</v>
      </c>
      <c r="D158" s="90">
        <v>210380</v>
      </c>
      <c r="E158" s="1015"/>
      <c r="F158" s="1012"/>
      <c r="G158" s="1004"/>
      <c r="H158" s="21"/>
    </row>
    <row r="159" spans="1:8" s="4" customFormat="1">
      <c r="A159" s="9" t="s">
        <v>1238</v>
      </c>
      <c r="B159" s="19" t="s">
        <v>181</v>
      </c>
      <c r="C159" s="89">
        <v>243291</v>
      </c>
      <c r="D159" s="90">
        <v>4438690</v>
      </c>
      <c r="E159" s="1015"/>
      <c r="F159" s="1012"/>
      <c r="G159" s="1005"/>
      <c r="H159" s="21"/>
    </row>
    <row r="160" spans="1:8" s="4" customFormat="1">
      <c r="A160" s="9" t="s">
        <v>1232</v>
      </c>
      <c r="B160" s="572" t="s">
        <v>181</v>
      </c>
      <c r="C160" s="89">
        <v>243340</v>
      </c>
      <c r="D160" s="90">
        <v>4134700</v>
      </c>
      <c r="E160" s="1015"/>
      <c r="F160" s="1012"/>
      <c r="G160" s="564"/>
      <c r="H160" s="21"/>
    </row>
    <row r="161" spans="1:8" s="4" customFormat="1">
      <c r="A161" s="9" t="s">
        <v>1233</v>
      </c>
      <c r="B161" s="19" t="s">
        <v>181</v>
      </c>
      <c r="C161" s="89">
        <v>243341</v>
      </c>
      <c r="D161" s="90">
        <v>211300</v>
      </c>
      <c r="E161" s="1015"/>
      <c r="F161" s="1012"/>
      <c r="G161" s="564"/>
      <c r="H161" s="21"/>
    </row>
    <row r="162" spans="1:8" s="4" customFormat="1">
      <c r="A162" s="9" t="s">
        <v>1238</v>
      </c>
      <c r="B162" s="19" t="s">
        <v>181</v>
      </c>
      <c r="C162" s="89">
        <v>243342</v>
      </c>
      <c r="D162" s="90">
        <v>4342640</v>
      </c>
      <c r="E162" s="1014"/>
      <c r="F162" s="1009"/>
      <c r="G162" s="564"/>
      <c r="H162" s="21"/>
    </row>
    <row r="163" spans="1:8">
      <c r="A163" s="104"/>
      <c r="B163" s="100"/>
      <c r="C163" s="101"/>
      <c r="D163" s="102">
        <f>SUM(D157:D162)</f>
        <v>17432370</v>
      </c>
      <c r="E163" s="102">
        <f t="shared" ref="E163:F163" si="10">SUM(E157:E162)</f>
        <v>10900850</v>
      </c>
      <c r="F163" s="102">
        <f t="shared" si="10"/>
        <v>6531520</v>
      </c>
      <c r="G163" s="103"/>
      <c r="H163" s="103"/>
    </row>
    <row r="164" spans="1:8">
      <c r="A164" s="70"/>
      <c r="B164" s="18"/>
      <c r="C164" s="67"/>
      <c r="D164" s="21"/>
      <c r="E164" s="98"/>
      <c r="F164" s="21"/>
      <c r="G164" s="21"/>
      <c r="H164" s="21"/>
    </row>
    <row r="165" spans="1:8">
      <c r="A165" s="37"/>
      <c r="B165" s="18"/>
      <c r="C165" s="89"/>
      <c r="D165" s="94"/>
      <c r="E165" s="98"/>
      <c r="F165" s="21"/>
      <c r="G165" s="21"/>
      <c r="H165" s="21"/>
    </row>
    <row r="166" spans="1:8">
      <c r="A166" s="123"/>
      <c r="B166" s="18"/>
      <c r="C166" s="67"/>
      <c r="D166" s="94"/>
      <c r="E166" s="98"/>
      <c r="F166" s="21"/>
      <c r="G166" s="21"/>
      <c r="H166" s="21"/>
    </row>
    <row r="167" spans="1:8">
      <c r="A167" s="134"/>
      <c r="B167" s="10"/>
      <c r="C167" s="67"/>
      <c r="D167" s="94"/>
      <c r="E167" s="98"/>
      <c r="F167" s="21"/>
      <c r="G167" s="21"/>
      <c r="H167" s="21"/>
    </row>
    <row r="168" spans="1:8">
      <c r="A168" s="37"/>
      <c r="B168" s="19"/>
      <c r="C168" s="89"/>
      <c r="D168" s="94"/>
      <c r="E168" s="98"/>
      <c r="F168" s="21"/>
      <c r="G168" s="21"/>
      <c r="H168" s="135"/>
    </row>
    <row r="169" spans="1:8">
      <c r="A169" s="37"/>
      <c r="B169" s="18"/>
      <c r="C169" s="89"/>
      <c r="D169" s="94"/>
      <c r="E169" s="98"/>
      <c r="F169" s="21"/>
      <c r="G169" s="21"/>
      <c r="H169" s="21"/>
    </row>
    <row r="170" spans="1:8">
      <c r="A170" s="37"/>
      <c r="B170" s="18"/>
      <c r="C170" s="89"/>
      <c r="D170" s="94"/>
      <c r="E170" s="98"/>
      <c r="F170" s="21"/>
      <c r="G170" s="21"/>
      <c r="H170" s="21"/>
    </row>
    <row r="171" spans="1:8">
      <c r="D171" s="172"/>
      <c r="E171" s="172"/>
      <c r="F171" s="188"/>
    </row>
    <row r="172" spans="1:8">
      <c r="D172" s="172"/>
      <c r="E172" s="172"/>
      <c r="F172" s="188"/>
    </row>
    <row r="173" spans="1:8">
      <c r="D173" s="172"/>
      <c r="E173" s="172"/>
      <c r="F173" s="188"/>
    </row>
    <row r="174" spans="1:8">
      <c r="D174" s="172"/>
      <c r="E174" s="172"/>
      <c r="F174" s="188"/>
    </row>
    <row r="175" spans="1:8">
      <c r="D175" s="172"/>
      <c r="E175" s="172"/>
      <c r="F175" s="188"/>
    </row>
    <row r="176" spans="1:8">
      <c r="D176" s="188"/>
      <c r="E176" s="188"/>
      <c r="F176" s="188"/>
    </row>
  </sheetData>
  <mergeCells count="41">
    <mergeCell ref="G157:G159"/>
    <mergeCell ref="G11:G12"/>
    <mergeCell ref="E97:E98"/>
    <mergeCell ref="F97:F98"/>
    <mergeCell ref="E77:E78"/>
    <mergeCell ref="F77:F78"/>
    <mergeCell ref="E79:E80"/>
    <mergeCell ref="F79:F80"/>
    <mergeCell ref="E83:E84"/>
    <mergeCell ref="E81:E82"/>
    <mergeCell ref="E157:E162"/>
    <mergeCell ref="F157:F162"/>
    <mergeCell ref="F81:F82"/>
    <mergeCell ref="F83:F84"/>
    <mergeCell ref="G14:G15"/>
    <mergeCell ref="G46:G47"/>
    <mergeCell ref="G64:G68"/>
    <mergeCell ref="E73:E76"/>
    <mergeCell ref="F73:F76"/>
    <mergeCell ref="E89:E92"/>
    <mergeCell ref="F89:F92"/>
    <mergeCell ref="E103:E105"/>
    <mergeCell ref="F103:F105"/>
    <mergeCell ref="E93:E94"/>
    <mergeCell ref="F93:F94"/>
    <mergeCell ref="E86:E88"/>
    <mergeCell ref="F86:F88"/>
    <mergeCell ref="A1:G1"/>
    <mergeCell ref="A2:G2"/>
    <mergeCell ref="G44:G45"/>
    <mergeCell ref="G59:G63"/>
    <mergeCell ref="G9:G10"/>
    <mergeCell ref="A3:H3"/>
    <mergeCell ref="H59:H63"/>
    <mergeCell ref="H9:H10"/>
    <mergeCell ref="E9:E10"/>
    <mergeCell ref="F9:F10"/>
    <mergeCell ref="E11:E12"/>
    <mergeCell ref="F11:F12"/>
    <mergeCell ref="G48:G49"/>
    <mergeCell ref="G52:G53"/>
  </mergeCells>
  <pageMargins left="0.70866141732283472" right="0.70866141732283472" top="0.74803149606299213" bottom="0.74803149606299213" header="0.31496062992125984" footer="0.31496062992125984"/>
  <pageSetup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H5" sqref="H5"/>
    </sheetView>
  </sheetViews>
  <sheetFormatPr defaultRowHeight="14.25"/>
  <cols>
    <col min="1" max="1" width="48" customWidth="1"/>
    <col min="2" max="2" width="21.25" bestFit="1" customWidth="1"/>
    <col min="3" max="4" width="17.125" bestFit="1" customWidth="1"/>
    <col min="5" max="5" width="12.625" bestFit="1" customWidth="1"/>
    <col min="6" max="6" width="9.125" customWidth="1"/>
    <col min="7" max="7" width="12.75" customWidth="1"/>
    <col min="10" max="10" width="13.75" customWidth="1"/>
    <col min="11" max="11" width="11.375" bestFit="1" customWidth="1"/>
  </cols>
  <sheetData>
    <row r="1" spans="1:6" ht="27.75" customHeight="1">
      <c r="A1" s="1016" t="s">
        <v>80</v>
      </c>
      <c r="B1" s="1017"/>
      <c r="C1" s="1017"/>
      <c r="D1" s="1017"/>
      <c r="E1" s="1017"/>
      <c r="F1" s="1018"/>
    </row>
    <row r="2" spans="1:6" ht="27.75" customHeight="1">
      <c r="A2" s="1016" t="s">
        <v>1568</v>
      </c>
      <c r="B2" s="1017"/>
      <c r="C2" s="1017"/>
      <c r="D2" s="1017"/>
      <c r="E2" s="1017"/>
      <c r="F2" s="1018"/>
    </row>
    <row r="3" spans="1:6" ht="30" customHeight="1">
      <c r="A3" s="984" t="s">
        <v>59</v>
      </c>
      <c r="B3" s="984" t="s">
        <v>2</v>
      </c>
      <c r="C3" s="984" t="s">
        <v>60</v>
      </c>
      <c r="D3" s="984" t="s">
        <v>79</v>
      </c>
      <c r="E3" s="984" t="s">
        <v>63</v>
      </c>
      <c r="F3" s="985" t="s">
        <v>65</v>
      </c>
    </row>
    <row r="4" spans="1:6" ht="21.75" customHeight="1">
      <c r="A4" s="986" t="s">
        <v>260</v>
      </c>
      <c r="B4" s="986" t="s">
        <v>246</v>
      </c>
      <c r="C4" s="987">
        <v>4915046</v>
      </c>
      <c r="D4" s="987">
        <v>4913014.93</v>
      </c>
      <c r="E4" s="987">
        <v>2031.070000000298</v>
      </c>
      <c r="F4" s="987">
        <v>99.958676480342191</v>
      </c>
    </row>
    <row r="5" spans="1:6" ht="28.5">
      <c r="A5" s="988" t="s">
        <v>152</v>
      </c>
      <c r="B5" s="986" t="s">
        <v>142</v>
      </c>
      <c r="C5" s="987">
        <v>55591474.490000002</v>
      </c>
      <c r="D5" s="987">
        <v>55496528.490000002</v>
      </c>
      <c r="E5" s="987">
        <v>94946</v>
      </c>
      <c r="F5" s="987">
        <v>99.82920762424267</v>
      </c>
    </row>
    <row r="6" spans="1:6" ht="28.5">
      <c r="A6" s="988" t="s">
        <v>150</v>
      </c>
      <c r="B6" s="986" t="s">
        <v>141</v>
      </c>
      <c r="C6" s="987">
        <v>306224</v>
      </c>
      <c r="D6" s="987">
        <v>306224</v>
      </c>
      <c r="E6" s="987">
        <v>0</v>
      </c>
      <c r="F6" s="987">
        <v>100</v>
      </c>
    </row>
    <row r="7" spans="1:6" ht="28.5">
      <c r="A7" s="988" t="s">
        <v>126</v>
      </c>
      <c r="B7" s="986" t="s">
        <v>138</v>
      </c>
      <c r="C7" s="987">
        <v>2353012.48</v>
      </c>
      <c r="D7" s="987">
        <v>2353012.48</v>
      </c>
      <c r="E7" s="987">
        <v>0</v>
      </c>
      <c r="F7" s="987">
        <v>100</v>
      </c>
    </row>
    <row r="8" spans="1:6" ht="24" customHeight="1">
      <c r="A8" s="988" t="s">
        <v>252</v>
      </c>
      <c r="B8" s="986" t="s">
        <v>247</v>
      </c>
      <c r="C8" s="987">
        <v>70000</v>
      </c>
      <c r="D8" s="987">
        <v>70000</v>
      </c>
      <c r="E8" s="987">
        <v>0</v>
      </c>
      <c r="F8" s="987">
        <v>100</v>
      </c>
    </row>
    <row r="9" spans="1:6" ht="24" customHeight="1">
      <c r="A9" s="988" t="s">
        <v>266</v>
      </c>
      <c r="B9" s="986" t="s">
        <v>249</v>
      </c>
      <c r="C9" s="987">
        <v>157600</v>
      </c>
      <c r="D9" s="987">
        <v>157600</v>
      </c>
      <c r="E9" s="987">
        <v>0</v>
      </c>
      <c r="F9" s="987">
        <v>100</v>
      </c>
    </row>
    <row r="10" spans="1:6" ht="28.5">
      <c r="A10" s="988" t="s">
        <v>179</v>
      </c>
      <c r="B10" s="986" t="s">
        <v>176</v>
      </c>
      <c r="C10" s="987">
        <v>1800887.6</v>
      </c>
      <c r="D10" s="987">
        <v>1800887.6</v>
      </c>
      <c r="E10" s="987">
        <v>0</v>
      </c>
      <c r="F10" s="987">
        <v>100</v>
      </c>
    </row>
    <row r="11" spans="1:6" ht="28.5">
      <c r="A11" s="988" t="s">
        <v>140</v>
      </c>
      <c r="B11" s="986" t="s">
        <v>134</v>
      </c>
      <c r="C11" s="987">
        <v>605128.12</v>
      </c>
      <c r="D11" s="987">
        <v>605128.12</v>
      </c>
      <c r="E11" s="987">
        <v>0</v>
      </c>
      <c r="F11" s="987">
        <v>100</v>
      </c>
    </row>
    <row r="12" spans="1:6" ht="28.5">
      <c r="A12" s="988" t="s">
        <v>269</v>
      </c>
      <c r="B12" s="986" t="s">
        <v>250</v>
      </c>
      <c r="C12" s="987">
        <v>188294</v>
      </c>
      <c r="D12" s="987">
        <v>188294</v>
      </c>
      <c r="E12" s="987">
        <v>0</v>
      </c>
      <c r="F12" s="987">
        <v>100</v>
      </c>
    </row>
    <row r="13" spans="1:6" ht="22.5" customHeight="1">
      <c r="A13" s="988" t="s">
        <v>272</v>
      </c>
      <c r="B13" s="986" t="s">
        <v>251</v>
      </c>
      <c r="C13" s="987">
        <v>272827.5</v>
      </c>
      <c r="D13" s="987">
        <v>272827.5</v>
      </c>
      <c r="E13" s="987">
        <v>0</v>
      </c>
      <c r="F13" s="987">
        <v>100</v>
      </c>
    </row>
    <row r="14" spans="1:6" ht="20.25" customHeight="1">
      <c r="A14" s="1019" t="s">
        <v>66</v>
      </c>
      <c r="B14" s="1020"/>
      <c r="C14" s="989">
        <v>66260494.189999998</v>
      </c>
      <c r="D14" s="989">
        <v>66163517.119999997</v>
      </c>
      <c r="E14" s="989">
        <v>96977.070000000298</v>
      </c>
      <c r="F14" s="989">
        <v>99.853642700397131</v>
      </c>
    </row>
    <row r="15" spans="1:6" ht="15" thickBot="1"/>
    <row r="16" spans="1:6" ht="23.25">
      <c r="A16" s="973" t="s">
        <v>1564</v>
      </c>
      <c r="B16" s="974">
        <v>290110.3</v>
      </c>
    </row>
    <row r="17" spans="1:5" ht="23.25">
      <c r="A17" s="975" t="s">
        <v>1565</v>
      </c>
      <c r="B17" s="976">
        <v>107510.39999999999</v>
      </c>
    </row>
    <row r="18" spans="1:5" ht="23.25">
      <c r="A18" s="977" t="s">
        <v>1566</v>
      </c>
      <c r="B18" s="976">
        <v>49850</v>
      </c>
      <c r="C18" s="122"/>
      <c r="D18" s="122"/>
      <c r="E18" s="122"/>
    </row>
    <row r="19" spans="1:5" ht="24" thickBot="1">
      <c r="A19" s="978" t="s">
        <v>1567</v>
      </c>
      <c r="B19" s="979">
        <f>B16-B17-B18</f>
        <v>132749.9</v>
      </c>
      <c r="C19" s="122"/>
      <c r="D19" s="122"/>
      <c r="E19" s="122"/>
    </row>
    <row r="20" spans="1:5" ht="46.5">
      <c r="A20" s="982" t="s">
        <v>126</v>
      </c>
      <c r="B20" s="971">
        <v>57187.519999999997</v>
      </c>
      <c r="C20" s="122"/>
      <c r="D20" s="122"/>
      <c r="E20" s="122"/>
    </row>
    <row r="21" spans="1:5" ht="46.5">
      <c r="A21" s="983" t="s">
        <v>133</v>
      </c>
      <c r="B21" s="972">
        <v>90711.88</v>
      </c>
      <c r="C21" s="122"/>
      <c r="D21" s="122"/>
      <c r="E21" s="122"/>
    </row>
    <row r="22" spans="1:5" ht="46.5">
      <c r="A22" s="983" t="s">
        <v>144</v>
      </c>
      <c r="B22" s="972">
        <v>33576</v>
      </c>
      <c r="C22" s="122"/>
      <c r="D22" s="122"/>
      <c r="E22" s="122"/>
    </row>
    <row r="23" spans="1:5" ht="24" thickBot="1">
      <c r="A23" s="981" t="s">
        <v>66</v>
      </c>
      <c r="B23" s="980">
        <f>SUM(B20:B22)</f>
        <v>181475.4</v>
      </c>
      <c r="C23" s="970"/>
      <c r="D23" s="970"/>
      <c r="E23" s="970"/>
    </row>
    <row r="24" spans="1:5">
      <c r="B24" s="122"/>
      <c r="C24" s="122"/>
      <c r="D24" s="122"/>
      <c r="E24" s="122"/>
    </row>
  </sheetData>
  <mergeCells count="3">
    <mergeCell ref="A1:F1"/>
    <mergeCell ref="A2:F2"/>
    <mergeCell ref="A14:B14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31"/>
  <sheetViews>
    <sheetView topLeftCell="B87" workbookViewId="0">
      <selection activeCell="G114" sqref="G114"/>
    </sheetView>
  </sheetViews>
  <sheetFormatPr defaultRowHeight="23.25"/>
  <cols>
    <col min="1" max="1" width="13.875" customWidth="1"/>
    <col min="2" max="2" width="6" style="807" customWidth="1"/>
    <col min="3" max="3" width="27" style="150" customWidth="1"/>
    <col min="4" max="4" width="23.25" style="788" customWidth="1"/>
    <col min="5" max="5" width="18.375" customWidth="1"/>
    <col min="6" max="6" width="11.25" style="682" customWidth="1"/>
    <col min="7" max="7" width="13.375" customWidth="1"/>
    <col min="8" max="8" width="13.125" bestFit="1" customWidth="1"/>
    <col min="9" max="9" width="14" customWidth="1"/>
    <col min="10" max="10" width="13.75" style="702" customWidth="1"/>
    <col min="11" max="11" width="19.875" style="678" customWidth="1"/>
    <col min="13" max="13" width="13.125" bestFit="1" customWidth="1"/>
  </cols>
  <sheetData>
    <row r="1" spans="3:12" hidden="1"/>
    <row r="2" spans="3:12" hidden="1"/>
    <row r="3" spans="3:12" ht="23.25" hidden="1" customHeight="1">
      <c r="C3" s="452"/>
      <c r="D3" s="789"/>
      <c r="E3" s="157" t="s">
        <v>82</v>
      </c>
      <c r="F3" s="679" t="s">
        <v>85</v>
      </c>
      <c r="G3" s="157" t="s">
        <v>972</v>
      </c>
      <c r="H3" s="157"/>
      <c r="I3" s="157"/>
      <c r="J3" s="698" t="s">
        <v>63</v>
      </c>
      <c r="K3" s="671" t="s">
        <v>1385</v>
      </c>
      <c r="L3" s="157"/>
    </row>
    <row r="4" spans="3:12" ht="23.25" hidden="1" customHeight="1">
      <c r="C4" s="693" t="s">
        <v>246</v>
      </c>
      <c r="D4" s="708" t="s">
        <v>261</v>
      </c>
      <c r="E4" s="157" t="s">
        <v>1424</v>
      </c>
      <c r="F4" s="679">
        <v>990300</v>
      </c>
      <c r="G4" s="157"/>
      <c r="H4" s="157"/>
      <c r="I4" s="157"/>
      <c r="J4" s="698"/>
      <c r="K4" s="683" t="s">
        <v>1425</v>
      </c>
      <c r="L4" s="672"/>
    </row>
    <row r="5" spans="3:12" ht="23.25" hidden="1" customHeight="1">
      <c r="C5" s="694"/>
      <c r="D5" s="706"/>
      <c r="E5" s="673"/>
      <c r="F5" s="680">
        <v>990300</v>
      </c>
      <c r="G5" s="673"/>
      <c r="H5" s="673"/>
      <c r="I5" s="673"/>
      <c r="J5" s="699"/>
      <c r="K5" s="684"/>
      <c r="L5" s="674"/>
    </row>
    <row r="6" spans="3:12" ht="23.25" hidden="1" customHeight="1">
      <c r="C6" s="693" t="s">
        <v>134</v>
      </c>
      <c r="D6" s="708" t="s">
        <v>135</v>
      </c>
      <c r="E6" s="157" t="s">
        <v>1426</v>
      </c>
      <c r="F6" s="679">
        <v>25360</v>
      </c>
      <c r="G6" s="157"/>
      <c r="H6" s="157"/>
      <c r="I6" s="157"/>
      <c r="J6" s="698"/>
      <c r="K6" s="685" t="s">
        <v>1427</v>
      </c>
      <c r="L6" s="675"/>
    </row>
    <row r="7" spans="3:12" ht="23.25" hidden="1" customHeight="1">
      <c r="C7" s="693"/>
      <c r="D7" s="708" t="s">
        <v>135</v>
      </c>
      <c r="E7" s="157" t="s">
        <v>1426</v>
      </c>
      <c r="F7" s="679">
        <v>6650</v>
      </c>
      <c r="G7" s="157"/>
      <c r="H7" s="157"/>
      <c r="I7" s="157"/>
      <c r="J7" s="698"/>
      <c r="K7" s="683" t="s">
        <v>1387</v>
      </c>
      <c r="L7" s="672"/>
    </row>
    <row r="8" spans="3:12" ht="23.25" hidden="1" customHeight="1">
      <c r="C8" s="694"/>
      <c r="D8" s="706"/>
      <c r="E8" s="673"/>
      <c r="F8" s="680">
        <v>32010</v>
      </c>
      <c r="G8" s="673"/>
      <c r="H8" s="673"/>
      <c r="I8" s="673"/>
      <c r="J8" s="699"/>
      <c r="K8" s="684"/>
      <c r="L8" s="674"/>
    </row>
    <row r="9" spans="3:12" ht="23.25" hidden="1" customHeight="1">
      <c r="C9" s="693" t="s">
        <v>141</v>
      </c>
      <c r="D9" s="708" t="s">
        <v>157</v>
      </c>
      <c r="E9" s="157" t="s">
        <v>1428</v>
      </c>
      <c r="F9" s="679">
        <v>9750</v>
      </c>
      <c r="G9" s="157"/>
      <c r="H9" s="157"/>
      <c r="I9" s="157"/>
      <c r="J9" s="698"/>
      <c r="K9" s="683" t="s">
        <v>204</v>
      </c>
      <c r="L9" s="675"/>
    </row>
    <row r="10" spans="3:12" ht="23.25" hidden="1" customHeight="1">
      <c r="C10" s="693"/>
      <c r="D10" s="708" t="s">
        <v>158</v>
      </c>
      <c r="E10" s="676" t="s">
        <v>1429</v>
      </c>
      <c r="F10" s="679">
        <v>660</v>
      </c>
      <c r="G10" s="157"/>
      <c r="H10" s="157"/>
      <c r="I10" s="157"/>
      <c r="J10" s="698"/>
      <c r="K10" s="683" t="s">
        <v>204</v>
      </c>
      <c r="L10" s="157"/>
    </row>
    <row r="11" spans="3:12" ht="23.25" hidden="1" customHeight="1">
      <c r="C11" s="693"/>
      <c r="D11" s="708" t="s">
        <v>156</v>
      </c>
      <c r="E11" s="676" t="s">
        <v>1430</v>
      </c>
      <c r="F11" s="679">
        <v>6500</v>
      </c>
      <c r="G11" s="157"/>
      <c r="H11" s="157"/>
      <c r="I11" s="157"/>
      <c r="J11" s="698"/>
      <c r="K11" s="683" t="s">
        <v>204</v>
      </c>
      <c r="L11" s="157"/>
    </row>
    <row r="12" spans="3:12" ht="23.25" hidden="1" customHeight="1">
      <c r="C12" s="693"/>
      <c r="D12" s="708" t="s">
        <v>158</v>
      </c>
      <c r="E12" s="676" t="s">
        <v>1429</v>
      </c>
      <c r="F12" s="681">
        <v>14400</v>
      </c>
      <c r="G12" s="157"/>
      <c r="H12" s="157"/>
      <c r="I12" s="157"/>
      <c r="J12" s="698"/>
      <c r="K12" s="683" t="s">
        <v>1431</v>
      </c>
      <c r="L12" s="157"/>
    </row>
    <row r="13" spans="3:12" ht="23.25" hidden="1" customHeight="1">
      <c r="C13" s="693"/>
      <c r="D13" s="708" t="s">
        <v>156</v>
      </c>
      <c r="E13" s="157" t="s">
        <v>1430</v>
      </c>
      <c r="F13" s="679">
        <v>4680</v>
      </c>
      <c r="G13" s="157"/>
      <c r="H13" s="157"/>
      <c r="I13" s="157"/>
      <c r="J13" s="698"/>
      <c r="K13" s="677" t="s">
        <v>1211</v>
      </c>
      <c r="L13" s="157"/>
    </row>
    <row r="14" spans="3:12" ht="23.25" hidden="1" customHeight="1">
      <c r="C14" s="693"/>
      <c r="D14" s="708" t="s">
        <v>158</v>
      </c>
      <c r="E14" s="157" t="s">
        <v>1429</v>
      </c>
      <c r="F14" s="679">
        <v>2700</v>
      </c>
      <c r="G14" s="157"/>
      <c r="H14" s="157"/>
      <c r="I14" s="157"/>
      <c r="J14" s="698"/>
      <c r="K14" s="677" t="s">
        <v>1211</v>
      </c>
      <c r="L14" s="157"/>
    </row>
    <row r="15" spans="3:12" ht="23.25" hidden="1" customHeight="1">
      <c r="C15" s="452"/>
      <c r="D15" s="708" t="s">
        <v>157</v>
      </c>
      <c r="E15" s="157" t="s">
        <v>1432</v>
      </c>
      <c r="F15" s="679">
        <v>28950</v>
      </c>
      <c r="G15" s="157"/>
      <c r="H15" s="157"/>
      <c r="I15" s="157"/>
      <c r="J15" s="698"/>
      <c r="K15" s="677" t="s">
        <v>1211</v>
      </c>
      <c r="L15" s="157"/>
    </row>
    <row r="16" spans="3:12" ht="23.25" hidden="1" customHeight="1">
      <c r="C16" s="452"/>
      <c r="D16" s="708" t="s">
        <v>155</v>
      </c>
      <c r="E16" s="157" t="s">
        <v>1433</v>
      </c>
      <c r="F16" s="679">
        <v>1170</v>
      </c>
      <c r="G16" s="157"/>
      <c r="H16" s="157"/>
      <c r="I16" s="157"/>
      <c r="J16" s="698"/>
      <c r="K16" s="677" t="s">
        <v>1211</v>
      </c>
      <c r="L16" s="157"/>
    </row>
    <row r="17" spans="2:12" ht="23.25" hidden="1" customHeight="1">
      <c r="C17" s="452"/>
      <c r="D17" s="708" t="s">
        <v>154</v>
      </c>
      <c r="E17" s="157" t="s">
        <v>1434</v>
      </c>
      <c r="F17" s="679">
        <v>1050</v>
      </c>
      <c r="G17" s="157"/>
      <c r="H17" s="157"/>
      <c r="I17" s="157"/>
      <c r="J17" s="698"/>
      <c r="K17" s="677" t="s">
        <v>1435</v>
      </c>
      <c r="L17" s="157"/>
    </row>
    <row r="18" spans="2:12" ht="23.25" hidden="1" customHeight="1">
      <c r="C18" s="452"/>
      <c r="D18" s="708" t="s">
        <v>157</v>
      </c>
      <c r="E18" s="157" t="s">
        <v>1432</v>
      </c>
      <c r="F18" s="679">
        <v>6400</v>
      </c>
      <c r="G18" s="157"/>
      <c r="H18" s="157"/>
      <c r="I18" s="157"/>
      <c r="J18" s="698"/>
      <c r="K18" s="677" t="s">
        <v>1435</v>
      </c>
      <c r="L18" s="157"/>
    </row>
    <row r="19" spans="2:12" ht="23.25" hidden="1" customHeight="1">
      <c r="C19" s="452"/>
      <c r="D19" s="708" t="s">
        <v>154</v>
      </c>
      <c r="E19" s="157" t="s">
        <v>1434</v>
      </c>
      <c r="F19" s="679">
        <v>1050</v>
      </c>
      <c r="G19" s="157"/>
      <c r="H19" s="157"/>
      <c r="I19" s="157"/>
      <c r="J19" s="698"/>
      <c r="K19" s="677" t="s">
        <v>1425</v>
      </c>
      <c r="L19" s="157"/>
    </row>
    <row r="20" spans="2:12" ht="23.25" hidden="1" customHeight="1">
      <c r="C20" s="452"/>
      <c r="D20" s="708" t="s">
        <v>154</v>
      </c>
      <c r="E20" s="157" t="s">
        <v>1434</v>
      </c>
      <c r="F20" s="679">
        <v>36400</v>
      </c>
      <c r="G20" s="157"/>
      <c r="H20" s="157"/>
      <c r="I20" s="157"/>
      <c r="J20" s="698"/>
      <c r="K20" s="677" t="s">
        <v>1212</v>
      </c>
      <c r="L20" s="157"/>
    </row>
    <row r="21" spans="2:12" ht="23.25" hidden="1" customHeight="1">
      <c r="C21" s="452"/>
      <c r="D21" s="708" t="s">
        <v>155</v>
      </c>
      <c r="E21" s="157" t="s">
        <v>1433</v>
      </c>
      <c r="F21" s="679">
        <v>10650</v>
      </c>
      <c r="G21" s="157"/>
      <c r="H21" s="157"/>
      <c r="I21" s="157"/>
      <c r="J21" s="698"/>
      <c r="K21" s="677" t="s">
        <v>1212</v>
      </c>
      <c r="L21" s="157"/>
    </row>
    <row r="22" spans="2:12" ht="23.25" hidden="1" customHeight="1">
      <c r="C22" s="452"/>
      <c r="D22" s="708" t="s">
        <v>156</v>
      </c>
      <c r="E22" s="157" t="s">
        <v>1430</v>
      </c>
      <c r="F22" s="679">
        <v>32350</v>
      </c>
      <c r="G22" s="157"/>
      <c r="H22" s="157"/>
      <c r="I22" s="157"/>
      <c r="J22" s="698"/>
      <c r="K22" s="677" t="s">
        <v>1212</v>
      </c>
      <c r="L22" s="157"/>
    </row>
    <row r="23" spans="2:12" ht="23.25" hidden="1" customHeight="1">
      <c r="C23" s="452"/>
      <c r="D23" s="708" t="s">
        <v>158</v>
      </c>
      <c r="E23" s="157" t="s">
        <v>1429</v>
      </c>
      <c r="F23" s="679">
        <v>25700</v>
      </c>
      <c r="G23" s="157"/>
      <c r="H23" s="157"/>
      <c r="I23" s="157"/>
      <c r="J23" s="698"/>
      <c r="K23" s="677" t="s">
        <v>1212</v>
      </c>
      <c r="L23" s="157"/>
    </row>
    <row r="24" spans="2:12" ht="23.25" hidden="1" customHeight="1">
      <c r="C24" s="695"/>
      <c r="D24" s="706"/>
      <c r="E24" s="673"/>
      <c r="F24" s="680">
        <v>182410</v>
      </c>
      <c r="G24" s="673"/>
      <c r="H24" s="673"/>
      <c r="I24" s="673"/>
      <c r="J24" s="699"/>
      <c r="K24" s="686"/>
      <c r="L24" s="673"/>
    </row>
    <row r="25" spans="2:12" ht="23.25" hidden="1" customHeight="1">
      <c r="C25" s="693" t="s">
        <v>138</v>
      </c>
      <c r="D25" s="708" t="s">
        <v>139</v>
      </c>
      <c r="E25" s="157" t="s">
        <v>1436</v>
      </c>
      <c r="F25" s="679">
        <v>133000</v>
      </c>
      <c r="G25" s="157"/>
      <c r="H25" s="157"/>
      <c r="I25" s="157"/>
      <c r="J25" s="698"/>
      <c r="K25" s="683" t="s">
        <v>1431</v>
      </c>
      <c r="L25" s="157"/>
    </row>
    <row r="26" spans="2:12" ht="23.25" hidden="1" customHeight="1">
      <c r="C26" s="452"/>
      <c r="D26" s="708"/>
      <c r="E26" s="157"/>
      <c r="F26" s="679">
        <v>58175</v>
      </c>
      <c r="G26" s="157"/>
      <c r="H26" s="157"/>
      <c r="I26" s="157"/>
      <c r="J26" s="698"/>
      <c r="K26" s="677" t="s">
        <v>1211</v>
      </c>
      <c r="L26" s="157"/>
    </row>
    <row r="27" spans="2:12" ht="23.25" hidden="1" customHeight="1">
      <c r="C27" s="452"/>
      <c r="D27" s="708"/>
      <c r="E27" s="157"/>
      <c r="F27" s="679">
        <v>14100</v>
      </c>
      <c r="G27" s="157"/>
      <c r="H27" s="157"/>
      <c r="I27" s="157"/>
      <c r="J27" s="698"/>
      <c r="K27" s="677" t="s">
        <v>1435</v>
      </c>
      <c r="L27" s="157"/>
    </row>
    <row r="28" spans="2:12" ht="23.25" hidden="1" customHeight="1">
      <c r="C28" s="452"/>
      <c r="D28" s="708"/>
      <c r="E28" s="157"/>
      <c r="F28" s="679">
        <v>85150</v>
      </c>
      <c r="G28" s="157"/>
      <c r="H28" s="157"/>
      <c r="I28" s="157"/>
      <c r="J28" s="698"/>
      <c r="K28" s="683" t="s">
        <v>1425</v>
      </c>
      <c r="L28" s="157"/>
    </row>
    <row r="29" spans="2:12" ht="23.25" hidden="1" customHeight="1">
      <c r="C29" s="452"/>
      <c r="D29" s="708"/>
      <c r="E29" s="157"/>
      <c r="F29" s="679">
        <v>122200</v>
      </c>
      <c r="G29" s="157"/>
      <c r="H29" s="157"/>
      <c r="I29" s="157"/>
      <c r="J29" s="698"/>
      <c r="K29" s="687" t="s">
        <v>213</v>
      </c>
      <c r="L29" s="157"/>
    </row>
    <row r="30" spans="2:12" ht="23.25" hidden="1" customHeight="1">
      <c r="C30" s="452"/>
      <c r="D30" s="708"/>
      <c r="E30" s="157"/>
      <c r="F30" s="679">
        <v>21600</v>
      </c>
      <c r="G30" s="157"/>
      <c r="H30" s="157"/>
      <c r="I30" s="157"/>
      <c r="J30" s="698"/>
      <c r="K30" s="677" t="s">
        <v>1437</v>
      </c>
      <c r="L30" s="157"/>
    </row>
    <row r="31" spans="2:12" s="122" customFormat="1" ht="23.25" hidden="1" customHeight="1">
      <c r="B31" s="808"/>
      <c r="C31" s="696"/>
      <c r="D31" s="790"/>
      <c r="E31" s="688"/>
      <c r="F31" s="689">
        <v>434225</v>
      </c>
      <c r="G31" s="688"/>
      <c r="H31" s="688"/>
      <c r="I31" s="688"/>
      <c r="J31" s="700"/>
      <c r="K31" s="690"/>
      <c r="L31" s="688"/>
    </row>
    <row r="32" spans="2:12" s="402" customFormat="1" ht="23.25" hidden="1" customHeight="1">
      <c r="B32" s="809"/>
      <c r="C32" s="697"/>
      <c r="D32" s="791"/>
      <c r="F32" s="691"/>
      <c r="J32" s="701"/>
      <c r="K32" s="692"/>
    </row>
    <row r="33" spans="2:12" s="402" customFormat="1" ht="23.25" customHeight="1">
      <c r="B33" s="809"/>
      <c r="C33" s="697"/>
      <c r="D33" s="791"/>
      <c r="F33" s="691"/>
      <c r="J33" s="701"/>
      <c r="K33" s="692"/>
    </row>
    <row r="34" spans="2:12" s="402" customFormat="1" ht="65.25" customHeight="1">
      <c r="B34" s="809"/>
      <c r="C34" s="1023" t="s">
        <v>1518</v>
      </c>
      <c r="D34" s="1024"/>
      <c r="E34" s="1024"/>
      <c r="F34" s="1024"/>
      <c r="G34" s="1024"/>
      <c r="H34" s="1024"/>
      <c r="I34" s="1024"/>
      <c r="J34" s="1024"/>
      <c r="K34" s="1024"/>
      <c r="L34" s="703"/>
    </row>
    <row r="35" spans="2:12" s="722" customFormat="1" ht="23.25" customHeight="1">
      <c r="C35" s="488" t="s">
        <v>1438</v>
      </c>
      <c r="D35" s="787" t="s">
        <v>2</v>
      </c>
      <c r="E35" s="721" t="s">
        <v>85</v>
      </c>
      <c r="F35" s="487" t="s">
        <v>972</v>
      </c>
      <c r="G35" s="487" t="s">
        <v>1527</v>
      </c>
      <c r="H35" s="487" t="s">
        <v>1529</v>
      </c>
      <c r="I35" s="487" t="s">
        <v>63</v>
      </c>
      <c r="J35" s="855" t="s">
        <v>1385</v>
      </c>
      <c r="K35" s="487" t="s">
        <v>85</v>
      </c>
    </row>
    <row r="36" spans="2:12" ht="46.5">
      <c r="B36" s="807">
        <v>1</v>
      </c>
      <c r="C36" s="709" t="s">
        <v>260</v>
      </c>
      <c r="D36" s="704" t="s">
        <v>246</v>
      </c>
      <c r="E36" s="710">
        <f>+F4-101897.2+46650</f>
        <v>935052.80000000005</v>
      </c>
      <c r="F36" s="728">
        <f>2000+285800+62500+60000+36000+119820+100125+194000-40000+85260+26000+3000</f>
        <v>934505</v>
      </c>
      <c r="G36" s="729">
        <f>E36-F36</f>
        <v>547.80000000004657</v>
      </c>
      <c r="H36" s="730">
        <f>G36</f>
        <v>547.80000000004657</v>
      </c>
      <c r="I36" s="730">
        <f>G36-H36</f>
        <v>0</v>
      </c>
      <c r="J36" s="827" t="s">
        <v>1425</v>
      </c>
      <c r="K36" s="823" t="s">
        <v>213</v>
      </c>
    </row>
    <row r="37" spans="2:12" ht="23.25" customHeight="1">
      <c r="C37" s="709"/>
      <c r="D37" s="727">
        <v>2767057.8</v>
      </c>
      <c r="E37" s="710">
        <v>1210750</v>
      </c>
      <c r="F37" s="728">
        <f>710576+499665</f>
        <v>1210241</v>
      </c>
      <c r="G37" s="729">
        <f t="shared" ref="G37:G39" si="0">E37-F37</f>
        <v>509</v>
      </c>
      <c r="H37" s="730">
        <f>G37</f>
        <v>509</v>
      </c>
      <c r="I37" s="730">
        <f t="shared" ref="I37:I39" si="1">G37-H37</f>
        <v>0</v>
      </c>
      <c r="J37" s="827" t="s">
        <v>1425</v>
      </c>
      <c r="K37" s="711" t="s">
        <v>1076</v>
      </c>
    </row>
    <row r="38" spans="2:12" ht="23.25" customHeight="1">
      <c r="C38" s="709"/>
      <c r="D38" s="704"/>
      <c r="E38" s="710">
        <v>50000</v>
      </c>
      <c r="F38" s="728">
        <v>49920</v>
      </c>
      <c r="G38" s="729">
        <f t="shared" si="0"/>
        <v>80</v>
      </c>
      <c r="H38" s="730">
        <v>80</v>
      </c>
      <c r="I38" s="730">
        <f t="shared" si="1"/>
        <v>0</v>
      </c>
      <c r="J38" s="827" t="s">
        <v>1425</v>
      </c>
      <c r="K38" s="711" t="s">
        <v>1076</v>
      </c>
    </row>
    <row r="39" spans="2:12" ht="23.25" customHeight="1">
      <c r="C39" s="709"/>
      <c r="D39" s="704"/>
      <c r="E39" s="710">
        <v>1391500</v>
      </c>
      <c r="F39" s="728">
        <f>98945+42092.73+84000+97100+99840+78000+364770+525858</f>
        <v>1390605.73</v>
      </c>
      <c r="G39" s="729">
        <f t="shared" si="0"/>
        <v>894.27000000001863</v>
      </c>
      <c r="H39" s="730">
        <f>G39</f>
        <v>894.27000000001863</v>
      </c>
      <c r="I39" s="730">
        <f t="shared" si="1"/>
        <v>0</v>
      </c>
      <c r="J39" s="827" t="s">
        <v>1425</v>
      </c>
      <c r="K39" s="711" t="s">
        <v>1078</v>
      </c>
    </row>
    <row r="40" spans="2:12" ht="23.25" customHeight="1">
      <c r="C40" s="705"/>
      <c r="D40" s="706"/>
      <c r="E40" s="712">
        <f>SUM(E36:E39)</f>
        <v>3587302.8</v>
      </c>
      <c r="F40" s="712">
        <f>SUM(F36:F39)</f>
        <v>3585271.73</v>
      </c>
      <c r="G40" s="712">
        <f>SUM(G36:G39)</f>
        <v>2031.0700000000652</v>
      </c>
      <c r="H40" s="806">
        <f>SUM(H36:H39)</f>
        <v>2031.0700000000652</v>
      </c>
      <c r="I40" s="806">
        <f>SUM(I36:I39)</f>
        <v>0</v>
      </c>
      <c r="J40" s="828"/>
      <c r="K40" s="714"/>
    </row>
    <row r="41" spans="2:12" s="385" customFormat="1" ht="37.5">
      <c r="B41" s="810">
        <v>2</v>
      </c>
      <c r="C41" s="913" t="s">
        <v>152</v>
      </c>
      <c r="D41" s="804" t="s">
        <v>142</v>
      </c>
      <c r="E41" s="786">
        <v>13600</v>
      </c>
      <c r="F41" s="786"/>
      <c r="G41" s="786">
        <f>E41-F41</f>
        <v>13600</v>
      </c>
      <c r="H41" s="786">
        <v>13600</v>
      </c>
      <c r="I41" s="786">
        <f>G41-H41</f>
        <v>0</v>
      </c>
      <c r="J41" s="829" t="s">
        <v>1386</v>
      </c>
      <c r="K41" s="803" t="s">
        <v>1281</v>
      </c>
    </row>
    <row r="42" spans="2:12" s="385" customFormat="1" ht="23.25" customHeight="1">
      <c r="B42" s="810"/>
      <c r="C42" s="784"/>
      <c r="D42" s="802">
        <v>6428555.1000000015</v>
      </c>
      <c r="E42" s="786">
        <v>110000</v>
      </c>
      <c r="F42" s="786"/>
      <c r="G42" s="786">
        <f t="shared" ref="G42:G46" si="2">E42-F42</f>
        <v>110000</v>
      </c>
      <c r="H42" s="786">
        <v>110000</v>
      </c>
      <c r="I42" s="786">
        <f t="shared" ref="I42:I45" si="3">G42-H42</f>
        <v>0</v>
      </c>
      <c r="J42" s="829" t="s">
        <v>1386</v>
      </c>
      <c r="K42" s="803" t="s">
        <v>1282</v>
      </c>
    </row>
    <row r="43" spans="2:12" s="385" customFormat="1" ht="23.25" customHeight="1">
      <c r="B43" s="810"/>
      <c r="C43" s="784"/>
      <c r="D43" s="785"/>
      <c r="E43" s="786">
        <v>21546</v>
      </c>
      <c r="F43" s="786"/>
      <c r="G43" s="786">
        <f t="shared" si="2"/>
        <v>21546</v>
      </c>
      <c r="H43" s="786">
        <v>21546</v>
      </c>
      <c r="I43" s="786">
        <f t="shared" si="3"/>
        <v>0</v>
      </c>
      <c r="J43" s="829" t="s">
        <v>1386</v>
      </c>
      <c r="K43" s="803" t="s">
        <v>1283</v>
      </c>
    </row>
    <row r="44" spans="2:12" s="385" customFormat="1" ht="23.25" customHeight="1">
      <c r="B44" s="810"/>
      <c r="C44" s="784"/>
      <c r="D44" s="785"/>
      <c r="E44" s="786">
        <v>8400</v>
      </c>
      <c r="F44" s="786"/>
      <c r="G44" s="786">
        <f t="shared" si="2"/>
        <v>8400</v>
      </c>
      <c r="H44" s="786">
        <v>8400</v>
      </c>
      <c r="I44" s="786">
        <f t="shared" si="3"/>
        <v>0</v>
      </c>
      <c r="J44" s="829" t="s">
        <v>1386</v>
      </c>
      <c r="K44" s="803" t="s">
        <v>1284</v>
      </c>
    </row>
    <row r="45" spans="2:12" s="385" customFormat="1" ht="23.25" customHeight="1">
      <c r="B45" s="810"/>
      <c r="C45" s="784"/>
      <c r="D45" s="785"/>
      <c r="E45" s="786">
        <v>3615899.4299999997</v>
      </c>
      <c r="F45" s="786"/>
      <c r="G45" s="786">
        <f t="shared" si="2"/>
        <v>3615899.4299999997</v>
      </c>
      <c r="H45" s="786">
        <v>3615899.4299999997</v>
      </c>
      <c r="I45" s="786">
        <f t="shared" si="3"/>
        <v>0</v>
      </c>
      <c r="J45" s="829" t="s">
        <v>1386</v>
      </c>
      <c r="K45" s="803" t="s">
        <v>1285</v>
      </c>
    </row>
    <row r="46" spans="2:12" s="385" customFormat="1" ht="23.25" customHeight="1">
      <c r="B46" s="810"/>
      <c r="C46" s="784"/>
      <c r="D46" s="785"/>
      <c r="E46" s="786">
        <v>0</v>
      </c>
      <c r="F46" s="786"/>
      <c r="G46" s="786">
        <f t="shared" si="2"/>
        <v>0</v>
      </c>
      <c r="H46" s="786"/>
      <c r="I46" s="786"/>
      <c r="J46" s="829" t="s">
        <v>1386</v>
      </c>
      <c r="K46" s="803" t="s">
        <v>1286</v>
      </c>
    </row>
    <row r="47" spans="2:12" ht="23.25" customHeight="1">
      <c r="C47" s="705"/>
      <c r="D47" s="706"/>
      <c r="E47" s="712">
        <v>3769445.4299999997</v>
      </c>
      <c r="F47" s="712">
        <f t="shared" ref="F47:G47" si="4">SUM(F41:F46)</f>
        <v>0</v>
      </c>
      <c r="G47" s="712">
        <f t="shared" si="4"/>
        <v>3769445.4299999997</v>
      </c>
      <c r="H47" s="712">
        <f>SUM(H41:H46)</f>
        <v>3769445.4299999997</v>
      </c>
      <c r="I47" s="712">
        <f>SUM(I41:I45)</f>
        <v>0</v>
      </c>
      <c r="J47" s="828"/>
      <c r="K47" s="801"/>
    </row>
    <row r="48" spans="2:12" ht="42.75">
      <c r="B48" s="807">
        <v>3</v>
      </c>
      <c r="C48" s="864" t="s">
        <v>144</v>
      </c>
      <c r="D48" s="708" t="s">
        <v>141</v>
      </c>
      <c r="E48" s="715">
        <f>+F9+F10+F11</f>
        <v>16910</v>
      </c>
      <c r="F48" s="727">
        <f>4550+6500</f>
        <v>11050</v>
      </c>
      <c r="G48" s="730">
        <f>E48-F48</f>
        <v>5860</v>
      </c>
      <c r="H48" s="730"/>
      <c r="I48" s="730">
        <f>G48-H48</f>
        <v>5860</v>
      </c>
      <c r="J48" s="830" t="s">
        <v>204</v>
      </c>
      <c r="K48" s="717"/>
    </row>
    <row r="49" spans="2:11" ht="23.25" customHeight="1">
      <c r="C49" s="709"/>
      <c r="D49" s="14">
        <v>141010</v>
      </c>
      <c r="E49" s="715">
        <f>+F12</f>
        <v>14400</v>
      </c>
      <c r="F49" s="727">
        <f>2100+1800+1830+4250</f>
        <v>9980</v>
      </c>
      <c r="G49" s="730">
        <f t="shared" ref="G49:G54" si="5">E49-F49</f>
        <v>4420</v>
      </c>
      <c r="H49" s="730">
        <f>5520-G49</f>
        <v>1100</v>
      </c>
      <c r="I49" s="730">
        <f>G49-H49</f>
        <v>3320</v>
      </c>
      <c r="J49" s="830" t="s">
        <v>1431</v>
      </c>
      <c r="K49" s="716"/>
    </row>
    <row r="50" spans="2:11" ht="23.25" customHeight="1">
      <c r="C50" s="709"/>
      <c r="D50" s="708"/>
      <c r="E50" s="715">
        <f>+F13+F14+F15+F16+65</f>
        <v>37565</v>
      </c>
      <c r="F50" s="727">
        <f>16240+1800+8240</f>
        <v>26280</v>
      </c>
      <c r="G50" s="730">
        <f t="shared" si="5"/>
        <v>11285</v>
      </c>
      <c r="H50" s="730">
        <f>G50</f>
        <v>11285</v>
      </c>
      <c r="I50" s="730">
        <f>G50-H50</f>
        <v>0</v>
      </c>
      <c r="J50" s="831" t="s">
        <v>1211</v>
      </c>
      <c r="K50" s="716"/>
    </row>
    <row r="51" spans="2:11" ht="23.25" customHeight="1">
      <c r="C51" s="709"/>
      <c r="D51" s="708"/>
      <c r="E51" s="715">
        <f>+F17+F18</f>
        <v>7450</v>
      </c>
      <c r="F51" s="727">
        <f>5200-4000+1050</f>
        <v>2250</v>
      </c>
      <c r="G51" s="730">
        <f t="shared" si="5"/>
        <v>5200</v>
      </c>
      <c r="H51" s="730">
        <f>1050-1050</f>
        <v>0</v>
      </c>
      <c r="I51" s="730">
        <f>G51-H51</f>
        <v>5200</v>
      </c>
      <c r="J51" s="831" t="s">
        <v>1435</v>
      </c>
      <c r="K51" s="716"/>
    </row>
    <row r="52" spans="2:11" ht="23.25" customHeight="1">
      <c r="C52" s="709"/>
      <c r="D52" s="708"/>
      <c r="E52" s="715">
        <f>+F19</f>
        <v>1050</v>
      </c>
      <c r="F52" s="727">
        <v>1050</v>
      </c>
      <c r="G52" s="730">
        <f t="shared" si="5"/>
        <v>0</v>
      </c>
      <c r="H52" s="730">
        <v>0</v>
      </c>
      <c r="I52" s="730">
        <f t="shared" ref="I52:I54" si="6">G52-H52</f>
        <v>0</v>
      </c>
      <c r="J52" s="831" t="s">
        <v>1425</v>
      </c>
      <c r="K52" s="716"/>
    </row>
    <row r="53" spans="2:11" ht="23.25" customHeight="1">
      <c r="C53" s="709"/>
      <c r="D53" s="708"/>
      <c r="E53" s="715">
        <f>+F20+F21+F22+F23</f>
        <v>105100</v>
      </c>
      <c r="F53" s="727">
        <f>3840+12800+47548+11496</f>
        <v>75684</v>
      </c>
      <c r="G53" s="730">
        <f t="shared" si="5"/>
        <v>29416</v>
      </c>
      <c r="H53" s="730">
        <v>0</v>
      </c>
      <c r="I53" s="730">
        <f t="shared" si="6"/>
        <v>29416</v>
      </c>
      <c r="J53" s="831" t="s">
        <v>1212</v>
      </c>
      <c r="K53" s="716"/>
    </row>
    <row r="54" spans="2:11" ht="23.25" customHeight="1">
      <c r="C54" s="781"/>
      <c r="D54" s="782"/>
      <c r="E54" s="715">
        <f>14510-65</f>
        <v>14445</v>
      </c>
      <c r="F54" s="727">
        <v>540</v>
      </c>
      <c r="G54" s="805">
        <f t="shared" si="5"/>
        <v>13905</v>
      </c>
      <c r="H54" s="805">
        <v>0</v>
      </c>
      <c r="I54" s="805">
        <f t="shared" si="6"/>
        <v>13905</v>
      </c>
      <c r="J54" s="831"/>
      <c r="K54" s="716"/>
    </row>
    <row r="55" spans="2:11" ht="23.25" customHeight="1">
      <c r="C55" s="1021" t="s">
        <v>66</v>
      </c>
      <c r="D55" s="1022"/>
      <c r="E55" s="712">
        <f>SUM(E48:E54)</f>
        <v>196920</v>
      </c>
      <c r="F55" s="712">
        <f>SUM(F48:F54)</f>
        <v>126834</v>
      </c>
      <c r="G55" s="726">
        <f>SUM(G48:G54)</f>
        <v>70086</v>
      </c>
      <c r="H55" s="726">
        <f>SUM(H48:H54)</f>
        <v>12385</v>
      </c>
      <c r="I55" s="726">
        <f>SUM(I48:I54)</f>
        <v>57701</v>
      </c>
      <c r="J55" s="832" t="s">
        <v>1526</v>
      </c>
      <c r="K55" s="713"/>
    </row>
    <row r="56" spans="2:11" ht="42.75">
      <c r="B56" s="807">
        <v>4</v>
      </c>
      <c r="C56" s="865" t="s">
        <v>126</v>
      </c>
      <c r="D56" s="719" t="s">
        <v>138</v>
      </c>
      <c r="E56" s="720">
        <f t="shared" ref="E56:E61" si="7">+F25</f>
        <v>133000</v>
      </c>
      <c r="F56" s="727">
        <f>5850+6500+38500+6500-11060+2400+690+930</f>
        <v>50310</v>
      </c>
      <c r="G56" s="730">
        <f>E56-F56</f>
        <v>82690</v>
      </c>
      <c r="H56" s="730">
        <v>5330</v>
      </c>
      <c r="I56" s="730">
        <f>G56-H56</f>
        <v>77360</v>
      </c>
      <c r="J56" s="793" t="s">
        <v>1431</v>
      </c>
      <c r="K56" s="716"/>
    </row>
    <row r="57" spans="2:11" ht="23.25" customHeight="1">
      <c r="C57" s="709"/>
      <c r="D57" s="792">
        <v>893177.52</v>
      </c>
      <c r="E57" s="715">
        <f>+F26+64185</f>
        <v>122360</v>
      </c>
      <c r="F57" s="727">
        <f>9210+3250+8600+4300+97000</f>
        <v>122360</v>
      </c>
      <c r="G57" s="730">
        <f t="shared" ref="G57:G61" si="8">E57-F57</f>
        <v>0</v>
      </c>
      <c r="H57" s="730">
        <f>G57</f>
        <v>0</v>
      </c>
      <c r="I57" s="730">
        <f t="shared" ref="I57:I62" si="9">G57-H57</f>
        <v>0</v>
      </c>
      <c r="J57" s="831" t="s">
        <v>1211</v>
      </c>
      <c r="K57" s="716"/>
    </row>
    <row r="58" spans="2:11" ht="23.25" customHeight="1">
      <c r="C58" s="709"/>
      <c r="D58" s="708"/>
      <c r="E58" s="715">
        <f t="shared" si="7"/>
        <v>14100</v>
      </c>
      <c r="F58" s="727"/>
      <c r="G58" s="730">
        <f t="shared" si="8"/>
        <v>14100</v>
      </c>
      <c r="H58" s="730">
        <v>0</v>
      </c>
      <c r="I58" s="730">
        <f t="shared" si="9"/>
        <v>14100</v>
      </c>
      <c r="J58" s="831" t="s">
        <v>1435</v>
      </c>
      <c r="K58" s="716"/>
    </row>
    <row r="59" spans="2:11" ht="23.25" customHeight="1">
      <c r="C59" s="709"/>
      <c r="D59" s="708"/>
      <c r="E59" s="715">
        <f t="shared" si="7"/>
        <v>85150</v>
      </c>
      <c r="F59" s="727">
        <f>35100+5750-15600</f>
        <v>25250</v>
      </c>
      <c r="G59" s="730">
        <f t="shared" si="8"/>
        <v>59900</v>
      </c>
      <c r="H59" s="730">
        <v>0</v>
      </c>
      <c r="I59" s="730">
        <f t="shared" si="9"/>
        <v>59900</v>
      </c>
      <c r="J59" s="830" t="s">
        <v>1425</v>
      </c>
      <c r="K59" s="716"/>
    </row>
    <row r="60" spans="2:11" ht="23.25" customHeight="1">
      <c r="C60" s="709"/>
      <c r="D60" s="708"/>
      <c r="E60" s="715">
        <f t="shared" si="7"/>
        <v>122200</v>
      </c>
      <c r="F60" s="727">
        <f>16000+57200+7800+4550+7800+7800+3250+600+2600</f>
        <v>107600</v>
      </c>
      <c r="G60" s="730">
        <f t="shared" si="8"/>
        <v>14600</v>
      </c>
      <c r="H60" s="730">
        <v>0</v>
      </c>
      <c r="I60" s="730">
        <f t="shared" si="9"/>
        <v>14600</v>
      </c>
      <c r="J60" s="833" t="s">
        <v>213</v>
      </c>
      <c r="K60" s="716"/>
    </row>
    <row r="61" spans="2:11" ht="23.25" customHeight="1">
      <c r="C61" s="709"/>
      <c r="D61" s="708"/>
      <c r="E61" s="715">
        <f t="shared" si="7"/>
        <v>21600</v>
      </c>
      <c r="F61" s="727">
        <f>16600+5000</f>
        <v>21600</v>
      </c>
      <c r="G61" s="730">
        <f t="shared" si="8"/>
        <v>0</v>
      </c>
      <c r="H61" s="730">
        <v>0</v>
      </c>
      <c r="I61" s="730">
        <f t="shared" si="9"/>
        <v>0</v>
      </c>
      <c r="J61" s="831" t="s">
        <v>1437</v>
      </c>
      <c r="K61" s="716"/>
    </row>
    <row r="62" spans="2:11" ht="23.25" customHeight="1">
      <c r="C62" s="781"/>
      <c r="D62" s="708"/>
      <c r="E62" s="730">
        <f>594592.52-64185+19000</f>
        <v>549407.52</v>
      </c>
      <c r="F62" s="727">
        <f>6300+2600+2600+150000+10000+355050</f>
        <v>526550</v>
      </c>
      <c r="G62" s="730">
        <f>594592.52-64185</f>
        <v>530407.52</v>
      </c>
      <c r="H62" s="730">
        <f>170000+41000+5200+11050+22170+83740+15869-22339-41600</f>
        <v>285090</v>
      </c>
      <c r="I62" s="730">
        <f t="shared" si="9"/>
        <v>245317.52000000002</v>
      </c>
      <c r="J62" s="834" t="s">
        <v>1258</v>
      </c>
      <c r="K62" s="716"/>
    </row>
    <row r="63" spans="2:11" ht="23.25" customHeight="1">
      <c r="C63" s="1021" t="s">
        <v>66</v>
      </c>
      <c r="D63" s="1022"/>
      <c r="E63" s="712">
        <f>SUM(E56:E62)</f>
        <v>1047817.52</v>
      </c>
      <c r="F63" s="712">
        <f>SUM(F56:F62)</f>
        <v>853670</v>
      </c>
      <c r="G63" s="712">
        <f>SUM(G56:G62)</f>
        <v>701697.52</v>
      </c>
      <c r="H63" s="712">
        <f t="shared" ref="H63:I63" si="10">SUM(H56:H62)</f>
        <v>290420</v>
      </c>
      <c r="I63" s="712">
        <f t="shared" si="10"/>
        <v>411277.52</v>
      </c>
      <c r="J63" s="832" t="s">
        <v>1526</v>
      </c>
      <c r="K63" s="806">
        <f>D57-G63</f>
        <v>191480</v>
      </c>
    </row>
    <row r="64" spans="2:11" ht="46.5">
      <c r="B64" s="807">
        <v>5</v>
      </c>
      <c r="C64" s="709" t="s">
        <v>252</v>
      </c>
      <c r="D64" s="719" t="s">
        <v>247</v>
      </c>
      <c r="E64" s="720"/>
      <c r="F64" s="716"/>
      <c r="G64" s="730">
        <f>E64-F64</f>
        <v>0</v>
      </c>
      <c r="H64" s="730"/>
      <c r="I64" s="730"/>
      <c r="J64" s="793"/>
      <c r="K64" s="716"/>
    </row>
    <row r="65" spans="2:13" ht="23.25" customHeight="1">
      <c r="C65" s="781"/>
      <c r="D65" s="727">
        <v>65300</v>
      </c>
      <c r="E65" s="715">
        <v>55300</v>
      </c>
      <c r="F65" s="716"/>
      <c r="G65" s="730">
        <f>E65-F65</f>
        <v>55300</v>
      </c>
      <c r="H65" s="730">
        <v>55300</v>
      </c>
      <c r="I65" s="730">
        <f>G65-H65</f>
        <v>0</v>
      </c>
      <c r="J65" s="831" t="s">
        <v>1519</v>
      </c>
      <c r="K65" s="716" t="s">
        <v>1521</v>
      </c>
    </row>
    <row r="66" spans="2:13" ht="23.25" customHeight="1">
      <c r="C66" s="781"/>
      <c r="D66" s="727"/>
      <c r="E66" s="715">
        <v>10000</v>
      </c>
      <c r="F66" s="716"/>
      <c r="G66" s="730">
        <v>10000</v>
      </c>
      <c r="H66" s="730">
        <v>10000</v>
      </c>
      <c r="I66" s="730">
        <f>G66-H66</f>
        <v>0</v>
      </c>
      <c r="J66" s="831" t="s">
        <v>213</v>
      </c>
      <c r="K66" s="716"/>
    </row>
    <row r="67" spans="2:13" ht="23.25" customHeight="1">
      <c r="C67" s="1021"/>
      <c r="D67" s="1022"/>
      <c r="E67" s="712">
        <f>SUM(E65:E66)</f>
        <v>65300</v>
      </c>
      <c r="F67" s="712"/>
      <c r="G67" s="712">
        <f>SUM(G64:G66)</f>
        <v>65300</v>
      </c>
      <c r="H67" s="712">
        <f t="shared" ref="H67:I67" si="11">SUM(H64:H66)</f>
        <v>65300</v>
      </c>
      <c r="I67" s="712">
        <f t="shared" si="11"/>
        <v>0</v>
      </c>
      <c r="J67" s="832"/>
      <c r="K67" s="713"/>
    </row>
    <row r="68" spans="2:13">
      <c r="B68" s="807">
        <v>6</v>
      </c>
      <c r="C68" s="709" t="s">
        <v>266</v>
      </c>
      <c r="D68" s="719" t="s">
        <v>249</v>
      </c>
      <c r="E68" s="157"/>
      <c r="F68" s="679"/>
      <c r="G68" s="157"/>
      <c r="H68" s="157"/>
      <c r="I68" s="157"/>
      <c r="J68" s="793"/>
      <c r="K68" s="716"/>
    </row>
    <row r="69" spans="2:13">
      <c r="C69" s="709"/>
      <c r="D69" s="727">
        <v>19900</v>
      </c>
      <c r="E69" s="720">
        <v>850</v>
      </c>
      <c r="F69" s="716"/>
      <c r="G69" s="730">
        <f>E69-F69</f>
        <v>850</v>
      </c>
      <c r="H69" s="730">
        <v>850</v>
      </c>
      <c r="I69" s="730">
        <f>G69-H69</f>
        <v>0</v>
      </c>
      <c r="J69" s="793" t="s">
        <v>1465</v>
      </c>
      <c r="K69" s="716" t="s">
        <v>1466</v>
      </c>
    </row>
    <row r="70" spans="2:13" ht="23.25" customHeight="1">
      <c r="C70" s="781"/>
      <c r="D70" s="789"/>
      <c r="E70" s="715">
        <v>5400</v>
      </c>
      <c r="F70" s="716"/>
      <c r="G70" s="730">
        <f>E70-F70</f>
        <v>5400</v>
      </c>
      <c r="H70" s="730">
        <v>5400</v>
      </c>
      <c r="I70" s="730">
        <f t="shared" ref="I70:I71" si="12">G70-H70</f>
        <v>0</v>
      </c>
      <c r="J70" s="831" t="s">
        <v>1252</v>
      </c>
      <c r="K70" s="716"/>
    </row>
    <row r="71" spans="2:13" ht="23.25" customHeight="1">
      <c r="C71" s="781"/>
      <c r="D71" s="789"/>
      <c r="E71" s="715">
        <v>5246</v>
      </c>
      <c r="F71" s="716"/>
      <c r="G71" s="730">
        <f>E71-F71</f>
        <v>5246</v>
      </c>
      <c r="H71" s="730">
        <v>5000</v>
      </c>
      <c r="I71" s="730">
        <f t="shared" si="12"/>
        <v>246</v>
      </c>
      <c r="J71" s="831" t="s">
        <v>1252</v>
      </c>
      <c r="K71" s="716"/>
    </row>
    <row r="72" spans="2:13" ht="23.25" customHeight="1">
      <c r="C72" s="1021" t="s">
        <v>66</v>
      </c>
      <c r="D72" s="1022"/>
      <c r="E72" s="712">
        <f>SUM(E69:E71)</f>
        <v>11496</v>
      </c>
      <c r="F72" s="712">
        <f>SUM(F69:F70)</f>
        <v>0</v>
      </c>
      <c r="G72" s="712">
        <f>SUM(G69:G71)</f>
        <v>11496</v>
      </c>
      <c r="H72" s="712">
        <f t="shared" ref="H72:I72" si="13">SUM(H69:H71)</f>
        <v>11250</v>
      </c>
      <c r="I72" s="712">
        <f t="shared" si="13"/>
        <v>246</v>
      </c>
      <c r="J72" s="832"/>
      <c r="K72" s="713"/>
    </row>
    <row r="73" spans="2:13" ht="69.75">
      <c r="B73" s="807">
        <v>7</v>
      </c>
      <c r="C73" s="709" t="s">
        <v>179</v>
      </c>
      <c r="D73" s="708" t="s">
        <v>176</v>
      </c>
      <c r="E73" s="157"/>
      <c r="F73" s="679"/>
      <c r="G73" s="157"/>
      <c r="H73" s="157"/>
      <c r="I73" s="157"/>
      <c r="J73" s="835"/>
      <c r="K73" s="716"/>
      <c r="L73" s="1008"/>
    </row>
    <row r="74" spans="2:13">
      <c r="C74" s="709"/>
      <c r="D74" s="727">
        <v>239032.29000000027</v>
      </c>
      <c r="E74" s="710">
        <f>+งบประมาณกิจกรรม!F103+งบประมาณกิจกรรม!F104</f>
        <v>362.39999999990687</v>
      </c>
      <c r="F74" s="794"/>
      <c r="G74" s="729">
        <f>E74-F74</f>
        <v>362.39999999990687</v>
      </c>
      <c r="H74" s="729">
        <v>93934.180000000168</v>
      </c>
      <c r="I74" s="730">
        <f>G74-H74</f>
        <v>-93571.780000000261</v>
      </c>
      <c r="J74" s="836" t="s">
        <v>204</v>
      </c>
      <c r="K74" s="794" t="s">
        <v>1511</v>
      </c>
      <c r="L74" s="1012"/>
    </row>
    <row r="75" spans="2:13">
      <c r="C75" s="709"/>
      <c r="E75" s="720">
        <f>+งบประมาณกิจกรรม!F106</f>
        <v>107148</v>
      </c>
      <c r="F75" s="716"/>
      <c r="G75" s="730">
        <f>E75-F75</f>
        <v>107148</v>
      </c>
      <c r="H75" s="730">
        <v>107148</v>
      </c>
      <c r="I75" s="730">
        <f>G75-H75</f>
        <v>0</v>
      </c>
      <c r="J75" s="793" t="s">
        <v>204</v>
      </c>
      <c r="K75" s="794" t="s">
        <v>1447</v>
      </c>
      <c r="L75" s="1009"/>
    </row>
    <row r="76" spans="2:13" ht="23.25" customHeight="1">
      <c r="C76" s="1021" t="s">
        <v>66</v>
      </c>
      <c r="D76" s="1022"/>
      <c r="E76" s="712">
        <f>SUM(E74:E75)</f>
        <v>107510.39999999991</v>
      </c>
      <c r="F76" s="712">
        <f>SUM(F74:F75)</f>
        <v>0</v>
      </c>
      <c r="G76" s="712">
        <f>SUM(G74:G75)</f>
        <v>107510.39999999991</v>
      </c>
      <c r="H76" s="712">
        <f t="shared" ref="H76:I76" si="14">SUM(H74:H75)</f>
        <v>201082.18000000017</v>
      </c>
      <c r="I76" s="712">
        <f t="shared" si="14"/>
        <v>-93571.780000000261</v>
      </c>
      <c r="J76" s="832"/>
      <c r="K76" s="713"/>
    </row>
    <row r="77" spans="2:13" ht="69.75">
      <c r="B77" s="807">
        <v>8</v>
      </c>
      <c r="C77" s="707" t="s">
        <v>133</v>
      </c>
      <c r="D77" s="708" t="s">
        <v>134</v>
      </c>
      <c r="E77" s="715">
        <f>+F6+7800+12400+5760</f>
        <v>51320</v>
      </c>
      <c r="F77" s="727">
        <f>40040+3600+7680</f>
        <v>51320</v>
      </c>
      <c r="G77" s="730">
        <f>E77-F77</f>
        <v>0</v>
      </c>
      <c r="H77" s="730">
        <v>0</v>
      </c>
      <c r="I77" s="730">
        <f>G77-H77</f>
        <v>0</v>
      </c>
      <c r="J77" s="837" t="s">
        <v>1427</v>
      </c>
      <c r="K77" s="717"/>
      <c r="M77" s="115"/>
    </row>
    <row r="78" spans="2:13" ht="23.25" customHeight="1">
      <c r="C78" s="707"/>
      <c r="D78" s="725">
        <v>375924.08999999997</v>
      </c>
      <c r="E78" s="715">
        <v>2000</v>
      </c>
      <c r="F78" s="727">
        <v>2000</v>
      </c>
      <c r="G78" s="730">
        <f t="shared" ref="G78:G81" si="15">E78-F78</f>
        <v>0</v>
      </c>
      <c r="H78" s="730">
        <v>0</v>
      </c>
      <c r="I78" s="730">
        <f t="shared" ref="I78:I82" si="16">G78-H78</f>
        <v>0</v>
      </c>
      <c r="J78" s="837" t="s">
        <v>1440</v>
      </c>
      <c r="K78" s="717"/>
      <c r="M78" s="115"/>
    </row>
    <row r="79" spans="2:13" ht="23.25" customHeight="1">
      <c r="C79" s="707"/>
      <c r="D79" s="708"/>
      <c r="E79" s="715">
        <f>+F7</f>
        <v>6650</v>
      </c>
      <c r="F79" s="716"/>
      <c r="G79" s="730">
        <f t="shared" si="15"/>
        <v>6650</v>
      </c>
      <c r="H79" s="730">
        <v>6650</v>
      </c>
      <c r="I79" s="730">
        <f t="shared" si="16"/>
        <v>0</v>
      </c>
      <c r="J79" s="838" t="s">
        <v>1387</v>
      </c>
      <c r="K79" s="718"/>
      <c r="M79" s="115"/>
    </row>
    <row r="80" spans="2:13" ht="23.25" customHeight="1">
      <c r="C80" s="795"/>
      <c r="D80" s="782"/>
      <c r="E80" s="715">
        <v>38588</v>
      </c>
      <c r="F80" s="716">
        <v>28623.13</v>
      </c>
      <c r="G80" s="805">
        <f t="shared" si="15"/>
        <v>9964.869999999999</v>
      </c>
      <c r="H80" s="730">
        <v>0</v>
      </c>
      <c r="I80" s="730">
        <f t="shared" si="16"/>
        <v>9964.869999999999</v>
      </c>
      <c r="J80" s="839" t="s">
        <v>1427</v>
      </c>
      <c r="K80" s="814" t="s">
        <v>1520</v>
      </c>
      <c r="M80" s="115"/>
    </row>
    <row r="81" spans="2:13" ht="23.25" customHeight="1">
      <c r="C81" s="795"/>
      <c r="D81" s="708"/>
      <c r="E81" s="715">
        <v>49850</v>
      </c>
      <c r="F81" s="716"/>
      <c r="G81" s="805">
        <f t="shared" si="15"/>
        <v>49850</v>
      </c>
      <c r="H81" s="730">
        <v>49850</v>
      </c>
      <c r="I81" s="730">
        <f t="shared" si="16"/>
        <v>0</v>
      </c>
      <c r="J81" s="839" t="s">
        <v>1440</v>
      </c>
      <c r="K81" s="814" t="s">
        <v>1524</v>
      </c>
      <c r="M81" s="115"/>
    </row>
    <row r="82" spans="2:13" ht="23.25" customHeight="1">
      <c r="C82" s="795"/>
      <c r="D82" s="708"/>
      <c r="E82" s="715"/>
      <c r="F82" s="716"/>
      <c r="G82" s="805">
        <v>4170</v>
      </c>
      <c r="H82" s="730">
        <v>4170</v>
      </c>
      <c r="I82" s="730">
        <f t="shared" si="16"/>
        <v>0</v>
      </c>
      <c r="J82" s="839"/>
      <c r="K82" s="814"/>
      <c r="M82" s="115"/>
    </row>
    <row r="83" spans="2:13" ht="23.25" customHeight="1">
      <c r="C83" s="795"/>
      <c r="D83" s="708"/>
      <c r="E83" s="715">
        <f>284400-23350-5760+41216.09</f>
        <v>296506.08999999997</v>
      </c>
      <c r="F83" s="716"/>
      <c r="G83" s="730">
        <f>E83-F83-4170</f>
        <v>292336.08999999997</v>
      </c>
      <c r="H83" s="730">
        <v>0</v>
      </c>
      <c r="I83" s="730">
        <f>G83-H83</f>
        <v>292336.08999999997</v>
      </c>
      <c r="J83" s="834" t="s">
        <v>1467</v>
      </c>
      <c r="K83" s="718"/>
      <c r="M83" s="115"/>
    </row>
    <row r="84" spans="2:13" ht="23.25" customHeight="1">
      <c r="C84" s="948"/>
      <c r="D84" s="949"/>
      <c r="E84" s="950"/>
      <c r="F84" s="952">
        <f>79319+20680</f>
        <v>99999</v>
      </c>
      <c r="G84" s="730">
        <f>E84-F84</f>
        <v>-99999</v>
      </c>
      <c r="H84" s="952"/>
      <c r="I84" s="952">
        <f>G84</f>
        <v>-99999</v>
      </c>
      <c r="J84" s="953" t="s">
        <v>1531</v>
      </c>
      <c r="K84" s="954"/>
      <c r="M84" s="115"/>
    </row>
    <row r="85" spans="2:13" ht="23.25" customHeight="1">
      <c r="C85" s="948"/>
      <c r="D85" s="949"/>
      <c r="E85" s="950"/>
      <c r="F85" s="951">
        <f>168090.08+4170</f>
        <v>172260.08</v>
      </c>
      <c r="G85" s="730">
        <f>E85-F85</f>
        <v>-172260.08</v>
      </c>
      <c r="H85" s="952"/>
      <c r="I85" s="952">
        <f>G85</f>
        <v>-172260.08</v>
      </c>
      <c r="J85" s="953" t="s">
        <v>1511</v>
      </c>
      <c r="K85" s="954"/>
      <c r="M85" s="115"/>
    </row>
    <row r="86" spans="2:13" ht="23.25" customHeight="1">
      <c r="C86" s="1025" t="s">
        <v>66</v>
      </c>
      <c r="D86" s="1026"/>
      <c r="E86" s="796">
        <f>SUM(E77:E83)</f>
        <v>444914.08999999997</v>
      </c>
      <c r="F86" s="796">
        <f>SUM(F77:F85)</f>
        <v>354202.20999999996</v>
      </c>
      <c r="G86" s="796">
        <f>SUM(G77:G83)</f>
        <v>362970.95999999996</v>
      </c>
      <c r="H86" s="796">
        <f>SUM(H77:H85)</f>
        <v>60670</v>
      </c>
      <c r="I86" s="796">
        <f>SUM(I77:I85)</f>
        <v>30041.879999999976</v>
      </c>
      <c r="J86" s="828"/>
      <c r="K86" s="813"/>
    </row>
    <row r="87" spans="2:13" s="385" customFormat="1" ht="69.75">
      <c r="B87" s="810">
        <v>9</v>
      </c>
      <c r="C87" s="811" t="s">
        <v>269</v>
      </c>
      <c r="D87" s="815" t="s">
        <v>250</v>
      </c>
      <c r="E87" s="812">
        <v>19900</v>
      </c>
      <c r="F87" s="812">
        <v>7200</v>
      </c>
      <c r="G87" s="851">
        <f>E87-F87</f>
        <v>12700</v>
      </c>
      <c r="H87" s="786">
        <f>G87</f>
        <v>12700</v>
      </c>
      <c r="I87" s="786">
        <f>H87</f>
        <v>12700</v>
      </c>
      <c r="J87" s="1032" t="s">
        <v>1440</v>
      </c>
      <c r="K87" s="1030" t="s">
        <v>1528</v>
      </c>
    </row>
    <row r="88" spans="2:13" s="385" customFormat="1" ht="23.25" customHeight="1">
      <c r="B88" s="810"/>
      <c r="C88" s="811"/>
      <c r="D88" s="816">
        <v>128200</v>
      </c>
      <c r="E88" s="812">
        <f>108300+600</f>
        <v>108900</v>
      </c>
      <c r="F88" s="812">
        <f>99000+22594</f>
        <v>121594</v>
      </c>
      <c r="G88" s="812">
        <f>E88-F88</f>
        <v>-12694</v>
      </c>
      <c r="H88" s="786">
        <f>G88</f>
        <v>-12694</v>
      </c>
      <c r="I88" s="786">
        <f>G88-H88</f>
        <v>0</v>
      </c>
      <c r="J88" s="1033"/>
      <c r="K88" s="1031"/>
    </row>
    <row r="89" spans="2:13" ht="23.25" customHeight="1">
      <c r="C89" s="867" t="s">
        <v>66</v>
      </c>
      <c r="D89" s="799"/>
      <c r="E89" s="796">
        <f>SUM(E87:E88)</f>
        <v>128800</v>
      </c>
      <c r="F89" s="796">
        <f>SUM(F87:F88)</f>
        <v>128794</v>
      </c>
      <c r="G89" s="796">
        <f t="shared" ref="G89:I89" si="17">SUM(G87:G88)</f>
        <v>6</v>
      </c>
      <c r="H89" s="796">
        <f t="shared" si="17"/>
        <v>6</v>
      </c>
      <c r="I89" s="796">
        <f t="shared" si="17"/>
        <v>12700</v>
      </c>
      <c r="J89" s="840"/>
      <c r="K89" s="797"/>
    </row>
    <row r="90" spans="2:13" ht="42">
      <c r="B90" s="807">
        <v>10</v>
      </c>
      <c r="C90" s="914" t="s">
        <v>272</v>
      </c>
      <c r="D90" s="10" t="s">
        <v>251</v>
      </c>
      <c r="E90" s="157"/>
      <c r="F90" s="679"/>
      <c r="G90" s="157"/>
      <c r="H90" s="157"/>
      <c r="I90" s="157"/>
      <c r="J90" s="841"/>
      <c r="K90" s="671"/>
    </row>
    <row r="91" spans="2:13">
      <c r="C91" s="452"/>
      <c r="D91" s="725">
        <v>31212.5</v>
      </c>
      <c r="E91" s="725">
        <v>31212.5</v>
      </c>
      <c r="F91" s="885">
        <v>115840</v>
      </c>
      <c r="G91" s="1038">
        <f>E91+E92-F91</f>
        <v>372.5</v>
      </c>
      <c r="H91" s="1038">
        <f>G91</f>
        <v>372.5</v>
      </c>
      <c r="I91" s="725">
        <f>G91-H91</f>
        <v>0</v>
      </c>
      <c r="J91" s="841" t="s">
        <v>1531</v>
      </c>
      <c r="K91" s="1030" t="s">
        <v>1530</v>
      </c>
    </row>
    <row r="92" spans="2:13">
      <c r="C92" s="452"/>
      <c r="D92" s="725"/>
      <c r="E92" s="725">
        <v>85000</v>
      </c>
      <c r="F92" s="679"/>
      <c r="G92" s="1039"/>
      <c r="H92" s="1039"/>
      <c r="I92" s="725">
        <f>G92-H92</f>
        <v>0</v>
      </c>
      <c r="J92" s="841" t="s">
        <v>1531</v>
      </c>
      <c r="K92" s="1031"/>
    </row>
    <row r="93" spans="2:13" ht="23.25" customHeight="1">
      <c r="C93" s="1029" t="s">
        <v>66</v>
      </c>
      <c r="D93" s="1029"/>
      <c r="E93" s="712">
        <f>SUM(E91:E92)</f>
        <v>116212.5</v>
      </c>
      <c r="F93" s="712">
        <f>SUM(F91)</f>
        <v>115840</v>
      </c>
      <c r="G93" s="712">
        <f>SUM(G91:G92)</f>
        <v>372.5</v>
      </c>
      <c r="H93" s="712">
        <f t="shared" ref="H93:I93" si="18">SUM(H91:H92)</f>
        <v>372.5</v>
      </c>
      <c r="I93" s="712">
        <f t="shared" si="18"/>
        <v>0</v>
      </c>
      <c r="J93" s="840"/>
      <c r="K93" s="797"/>
    </row>
    <row r="94" spans="2:13" s="722" customFormat="1" ht="23.25" customHeight="1">
      <c r="C94" s="488" t="s">
        <v>1438</v>
      </c>
      <c r="D94" s="787" t="s">
        <v>2</v>
      </c>
      <c r="E94" s="721" t="s">
        <v>85</v>
      </c>
      <c r="F94" s="487" t="s">
        <v>972</v>
      </c>
      <c r="G94" s="487" t="s">
        <v>1527</v>
      </c>
      <c r="H94" s="487" t="s">
        <v>1529</v>
      </c>
      <c r="I94" s="487" t="s">
        <v>63</v>
      </c>
      <c r="J94" s="855" t="s">
        <v>1385</v>
      </c>
      <c r="K94" s="487" t="s">
        <v>85</v>
      </c>
    </row>
    <row r="95" spans="2:13" ht="23.25" customHeight="1">
      <c r="C95" s="866"/>
      <c r="D95" s="853"/>
      <c r="E95" s="712"/>
      <c r="F95" s="712"/>
      <c r="G95" s="712">
        <f>G93+G89+G86+G76+G72+G67+G63+G55+G47+G40</f>
        <v>5090915.88</v>
      </c>
      <c r="H95" s="712">
        <f>H93+H89+H86+H76+H72+H67+H63+H55+H47+H40</f>
        <v>4412962.18</v>
      </c>
      <c r="I95" s="712">
        <f>I93+I89+I86+I76+I72+I67+I63+I55+I47+I40</f>
        <v>418394.61999999976</v>
      </c>
      <c r="J95" s="840"/>
      <c r="K95" s="797"/>
    </row>
    <row r="96" spans="2:13" ht="23.25" customHeight="1">
      <c r="C96" s="860"/>
      <c r="D96" s="860"/>
      <c r="E96" s="854"/>
      <c r="F96" s="854"/>
      <c r="G96" s="863" t="s">
        <v>1534</v>
      </c>
      <c r="H96" s="712"/>
      <c r="I96" s="712">
        <v>735932.61</v>
      </c>
      <c r="J96" s="861"/>
      <c r="K96" s="862"/>
    </row>
    <row r="97" spans="3:10">
      <c r="G97" s="157" t="s">
        <v>1531</v>
      </c>
      <c r="H97" s="157"/>
      <c r="I97" s="786">
        <v>57000</v>
      </c>
    </row>
    <row r="98" spans="3:10">
      <c r="G98" s="157" t="s">
        <v>1511</v>
      </c>
      <c r="H98" s="157"/>
      <c r="I98" s="786">
        <v>168090</v>
      </c>
    </row>
    <row r="99" spans="3:10">
      <c r="G99" s="157" t="s">
        <v>1532</v>
      </c>
      <c r="H99" s="157"/>
      <c r="I99" s="786">
        <f>32100+35150</f>
        <v>67250</v>
      </c>
    </row>
    <row r="100" spans="3:10">
      <c r="G100" s="858" t="s">
        <v>1533</v>
      </c>
      <c r="H100" s="858"/>
      <c r="I100" s="859">
        <f>I95-I97-I98-I99</f>
        <v>126054.61999999976</v>
      </c>
    </row>
    <row r="101" spans="3:10" ht="24" thickBot="1"/>
    <row r="102" spans="3:10" ht="63">
      <c r="C102" s="916" t="s">
        <v>144</v>
      </c>
      <c r="D102" s="917" t="s">
        <v>141</v>
      </c>
      <c r="E102" s="918"/>
      <c r="F102" s="919"/>
      <c r="G102" s="920">
        <v>117115</v>
      </c>
      <c r="H102" s="122"/>
      <c r="I102" s="122"/>
      <c r="J102" s="924"/>
    </row>
    <row r="103" spans="3:10" ht="63">
      <c r="C103" s="942" t="s">
        <v>145</v>
      </c>
      <c r="D103" s="19" t="s">
        <v>154</v>
      </c>
      <c r="E103" s="931"/>
      <c r="F103" s="932"/>
      <c r="G103" s="933"/>
      <c r="H103" s="122"/>
      <c r="I103" s="122"/>
      <c r="J103" s="924"/>
    </row>
    <row r="104" spans="3:10" ht="23.25" customHeight="1">
      <c r="C104" s="942" t="s">
        <v>146</v>
      </c>
      <c r="D104" s="19" t="s">
        <v>155</v>
      </c>
      <c r="E104" s="931"/>
      <c r="F104" s="932"/>
      <c r="G104" s="933"/>
      <c r="H104" s="122"/>
      <c r="I104" s="122"/>
      <c r="J104" s="924"/>
    </row>
    <row r="105" spans="3:10" ht="23.25" customHeight="1">
      <c r="C105" s="942" t="s">
        <v>149</v>
      </c>
      <c r="D105" s="19" t="s">
        <v>156</v>
      </c>
      <c r="E105" s="931"/>
      <c r="F105" s="932"/>
      <c r="G105" s="933"/>
      <c r="H105" s="930"/>
      <c r="I105" s="122"/>
      <c r="J105" s="924"/>
    </row>
    <row r="106" spans="3:10" ht="23.25" customHeight="1">
      <c r="C106" s="942" t="s">
        <v>147</v>
      </c>
      <c r="D106" s="19" t="s">
        <v>158</v>
      </c>
      <c r="E106" s="931"/>
      <c r="F106" s="932"/>
      <c r="G106" s="933"/>
      <c r="H106" s="122"/>
      <c r="I106" s="122"/>
      <c r="J106" s="924"/>
    </row>
    <row r="107" spans="3:10" ht="21">
      <c r="C107" s="944"/>
      <c r="D107" s="926" t="s">
        <v>1558</v>
      </c>
      <c r="E107" s="944" t="s">
        <v>1560</v>
      </c>
      <c r="F107" s="945"/>
      <c r="G107" s="928">
        <f>32100+28050</f>
        <v>60150</v>
      </c>
      <c r="H107" s="122"/>
    </row>
    <row r="108" spans="3:10" ht="21">
      <c r="C108" s="925"/>
      <c r="D108" s="926" t="s">
        <v>1558</v>
      </c>
      <c r="E108" s="931" t="s">
        <v>1559</v>
      </c>
      <c r="F108" s="927"/>
      <c r="G108" s="928">
        <f>49800+7165</f>
        <v>56965</v>
      </c>
      <c r="H108" s="122"/>
    </row>
    <row r="109" spans="3:10" ht="21.75" thickBot="1">
      <c r="C109" s="1034" t="s">
        <v>63</v>
      </c>
      <c r="D109" s="1035"/>
      <c r="E109" s="934"/>
      <c r="F109" s="935"/>
      <c r="G109" s="936">
        <f>+G102-G107-G108</f>
        <v>0</v>
      </c>
      <c r="H109" s="122"/>
    </row>
    <row r="110" spans="3:10" ht="63">
      <c r="C110" s="922" t="s">
        <v>126</v>
      </c>
      <c r="D110" s="923" t="s">
        <v>138</v>
      </c>
      <c r="E110" s="918"/>
      <c r="F110" s="919"/>
      <c r="G110" s="920">
        <v>372277.52</v>
      </c>
      <c r="H110" s="122"/>
    </row>
    <row r="111" spans="3:10" ht="63">
      <c r="C111" s="947" t="s">
        <v>129</v>
      </c>
      <c r="D111" s="417" t="s">
        <v>139</v>
      </c>
      <c r="E111" s="931"/>
      <c r="F111" s="932"/>
      <c r="G111" s="933"/>
      <c r="H111" s="122"/>
    </row>
    <row r="112" spans="3:10" ht="21">
      <c r="C112" s="947"/>
      <c r="D112" s="417" t="s">
        <v>1558</v>
      </c>
      <c r="E112" s="931" t="s">
        <v>1559</v>
      </c>
      <c r="F112" s="932"/>
      <c r="G112" s="933">
        <v>16727.52</v>
      </c>
      <c r="H112" s="122"/>
    </row>
    <row r="113" spans="3:10" ht="21">
      <c r="C113" s="947"/>
      <c r="D113" s="417"/>
      <c r="E113" s="931" t="s">
        <v>1563</v>
      </c>
      <c r="F113" s="932"/>
      <c r="G113" s="933">
        <v>19000</v>
      </c>
      <c r="H113" s="122"/>
    </row>
    <row r="114" spans="3:10" ht="32.25" customHeight="1">
      <c r="C114" s="943"/>
      <c r="D114" s="946" t="s">
        <v>1561</v>
      </c>
      <c r="E114" s="931" t="s">
        <v>1562</v>
      </c>
      <c r="F114" s="126"/>
      <c r="G114" s="921">
        <v>355550</v>
      </c>
      <c r="H114" s="122"/>
    </row>
    <row r="115" spans="3:10" ht="21.75" thickBot="1">
      <c r="C115" s="1036" t="s">
        <v>63</v>
      </c>
      <c r="D115" s="1037"/>
      <c r="E115" s="934"/>
      <c r="F115" s="935"/>
      <c r="G115" s="936">
        <f>G110-G114-G112</f>
        <v>0</v>
      </c>
    </row>
    <row r="116" spans="3:10" ht="63">
      <c r="C116" s="922" t="s">
        <v>133</v>
      </c>
      <c r="D116" s="923" t="s">
        <v>134</v>
      </c>
      <c r="E116" s="918"/>
      <c r="F116" s="919"/>
      <c r="G116" s="920">
        <v>330924.08999999997</v>
      </c>
    </row>
    <row r="117" spans="3:10" ht="63">
      <c r="C117" s="96" t="s">
        <v>131</v>
      </c>
      <c r="D117" s="19" t="s">
        <v>135</v>
      </c>
      <c r="E117" s="931"/>
      <c r="F117" s="932"/>
      <c r="G117" s="933"/>
      <c r="H117" s="122"/>
    </row>
    <row r="118" spans="3:10" ht="42">
      <c r="C118" s="96" t="s">
        <v>132</v>
      </c>
      <c r="D118" s="19" t="s">
        <v>136</v>
      </c>
      <c r="E118" s="931"/>
      <c r="F118" s="932"/>
      <c r="G118" s="933"/>
      <c r="H118" s="122"/>
      <c r="I118" s="122"/>
      <c r="J118" s="924"/>
    </row>
    <row r="119" spans="3:10" ht="23.25" customHeight="1">
      <c r="C119" s="943"/>
      <c r="D119" s="926" t="s">
        <v>1558</v>
      </c>
      <c r="E119" s="943" t="s">
        <v>1557</v>
      </c>
      <c r="F119" s="126"/>
      <c r="G119" s="921">
        <v>168090</v>
      </c>
    </row>
    <row r="120" spans="3:10" ht="21">
      <c r="C120" s="1027" t="s">
        <v>1531</v>
      </c>
      <c r="D120" s="1028"/>
      <c r="E120" s="915"/>
      <c r="F120" s="126"/>
      <c r="G120" s="921">
        <v>100000</v>
      </c>
      <c r="H120" s="122"/>
    </row>
    <row r="121" spans="3:10" ht="21">
      <c r="C121" s="955"/>
      <c r="D121" s="926" t="s">
        <v>1558</v>
      </c>
      <c r="E121" s="931" t="s">
        <v>1559</v>
      </c>
      <c r="F121" s="927"/>
      <c r="G121" s="928">
        <v>62834</v>
      </c>
      <c r="H121" s="122"/>
    </row>
    <row r="122" spans="3:10" ht="21.75" thickBot="1">
      <c r="C122" s="1036" t="s">
        <v>63</v>
      </c>
      <c r="D122" s="1037"/>
      <c r="E122" s="934"/>
      <c r="F122" s="935"/>
      <c r="G122" s="936">
        <f>G116-G119-G120</f>
        <v>62834.089999999967</v>
      </c>
    </row>
    <row r="123" spans="3:10" ht="42">
      <c r="C123" s="922" t="s">
        <v>272</v>
      </c>
      <c r="D123" s="923" t="s">
        <v>251</v>
      </c>
      <c r="E123" s="918"/>
      <c r="F123" s="919"/>
      <c r="G123" s="920">
        <v>116212.5</v>
      </c>
    </row>
    <row r="124" spans="3:10" ht="23.25" customHeight="1">
      <c r="C124" s="160" t="s">
        <v>273</v>
      </c>
      <c r="D124" s="525" t="s">
        <v>274</v>
      </c>
      <c r="E124" s="940"/>
      <c r="F124" s="932"/>
      <c r="G124" s="933"/>
    </row>
    <row r="125" spans="3:10" ht="21">
      <c r="C125" s="1041" t="s">
        <v>1531</v>
      </c>
      <c r="D125" s="1041"/>
      <c r="E125" s="929"/>
      <c r="F125" s="679"/>
      <c r="G125" s="921">
        <v>101000</v>
      </c>
      <c r="H125" s="122"/>
    </row>
    <row r="126" spans="3:10" ht="21">
      <c r="C126" s="1027" t="s">
        <v>1364</v>
      </c>
      <c r="D126" s="1040"/>
      <c r="E126" s="157"/>
      <c r="F126" s="679"/>
      <c r="G126" s="921">
        <v>15000</v>
      </c>
    </row>
    <row r="127" spans="3:10" ht="21.75" thickBot="1">
      <c r="C127" s="1042" t="s">
        <v>63</v>
      </c>
      <c r="D127" s="1043"/>
      <c r="E127" s="937"/>
      <c r="F127" s="938"/>
      <c r="G127" s="939">
        <f>G123-G125-G126</f>
        <v>212.5</v>
      </c>
    </row>
    <row r="128" spans="3:10" ht="63">
      <c r="C128" s="922" t="s">
        <v>269</v>
      </c>
      <c r="D128" s="923" t="s">
        <v>250</v>
      </c>
      <c r="E128" s="918"/>
      <c r="F128" s="919"/>
      <c r="G128" s="920">
        <v>128800</v>
      </c>
    </row>
    <row r="129" spans="3:7" ht="42">
      <c r="C129" s="941" t="s">
        <v>270</v>
      </c>
      <c r="D129" s="512" t="s">
        <v>267</v>
      </c>
      <c r="E129" s="915"/>
      <c r="F129" s="126"/>
      <c r="G129" s="330"/>
    </row>
    <row r="130" spans="3:7" ht="21">
      <c r="C130" s="1027" t="s">
        <v>1272</v>
      </c>
      <c r="D130" s="1040"/>
      <c r="E130" s="929"/>
      <c r="F130" s="679"/>
      <c r="G130" s="921">
        <v>128800</v>
      </c>
    </row>
    <row r="131" spans="3:7" ht="21.75" thickBot="1">
      <c r="C131" s="1036" t="s">
        <v>63</v>
      </c>
      <c r="D131" s="1037"/>
      <c r="E131" s="934"/>
      <c r="F131" s="935"/>
      <c r="G131" s="936">
        <f>G128-G130</f>
        <v>0</v>
      </c>
    </row>
  </sheetData>
  <mergeCells count="23">
    <mergeCell ref="C122:D122"/>
    <mergeCell ref="C130:D130"/>
    <mergeCell ref="C131:D131"/>
    <mergeCell ref="C125:D125"/>
    <mergeCell ref="C126:D126"/>
    <mergeCell ref="C127:D127"/>
    <mergeCell ref="C120:D120"/>
    <mergeCell ref="L73:L75"/>
    <mergeCell ref="C93:D93"/>
    <mergeCell ref="C76:D76"/>
    <mergeCell ref="K87:K88"/>
    <mergeCell ref="J87:J88"/>
    <mergeCell ref="K91:K92"/>
    <mergeCell ref="C109:D109"/>
    <mergeCell ref="C115:D115"/>
    <mergeCell ref="G91:G92"/>
    <mergeCell ref="H91:H92"/>
    <mergeCell ref="C67:D67"/>
    <mergeCell ref="C34:K34"/>
    <mergeCell ref="C86:D86"/>
    <mergeCell ref="C55:D55"/>
    <mergeCell ref="C63:D63"/>
    <mergeCell ref="C72:D72"/>
  </mergeCells>
  <pageMargins left="0.70866141732283472" right="0.70866141732283472" top="0.74803149606299213" bottom="0.74803149606299213" header="0.31496062992125984" footer="0.31496062992125984"/>
  <pageSetup scale="63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'C:\งาน\งานปี 2566\รายงานเบิจ่ายงบประมาณ\[จัดสรรงบประมาณรายจ่ายปี66_5_เมย_66pim.xlsx]รายการรหัสเงิน'!#REF!</xm:f>
          </x14:formula1>
          <xm:sqref>E10:E12 D11 D13 D22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workbookViewId="0">
      <selection activeCell="F12" sqref="F12"/>
    </sheetView>
  </sheetViews>
  <sheetFormatPr defaultRowHeight="21"/>
  <cols>
    <col min="1" max="1" width="10.625" style="873" bestFit="1" customWidth="1"/>
    <col min="2" max="2" width="15.125" style="873" bestFit="1" customWidth="1"/>
    <col min="3" max="3" width="21.25" style="873" bestFit="1" customWidth="1"/>
    <col min="4" max="4" width="21.5" style="873" customWidth="1"/>
    <col min="5" max="5" width="12" style="873" bestFit="1" customWidth="1"/>
    <col min="6" max="6" width="12.375" style="873" customWidth="1"/>
    <col min="7" max="7" width="8.375" style="873" customWidth="1"/>
    <col min="8" max="8" width="13.5" style="873" bestFit="1" customWidth="1"/>
    <col min="9" max="9" width="12" style="873" bestFit="1" customWidth="1"/>
    <col min="10" max="10" width="10.5" style="873" bestFit="1" customWidth="1"/>
    <col min="11" max="13" width="18.75" style="889" customWidth="1"/>
    <col min="14" max="14" width="13.75" style="889" bestFit="1" customWidth="1"/>
    <col min="15" max="15" width="12.25" style="889" customWidth="1"/>
    <col min="16" max="16" width="14.875" style="889" customWidth="1"/>
    <col min="17" max="16384" width="9" style="873"/>
  </cols>
  <sheetData>
    <row r="1" spans="1:17" ht="21.75" thickBot="1">
      <c r="A1" s="869" t="s">
        <v>0</v>
      </c>
      <c r="B1" s="869" t="s">
        <v>1535</v>
      </c>
      <c r="C1" s="869" t="s">
        <v>2</v>
      </c>
      <c r="D1" s="869" t="s">
        <v>3</v>
      </c>
      <c r="E1" s="869" t="s">
        <v>4</v>
      </c>
      <c r="F1" s="869" t="s">
        <v>5</v>
      </c>
      <c r="G1" s="869" t="s">
        <v>6</v>
      </c>
      <c r="H1" s="869" t="s">
        <v>7</v>
      </c>
      <c r="I1" s="869" t="s">
        <v>8</v>
      </c>
      <c r="J1" s="869" t="s">
        <v>245</v>
      </c>
      <c r="K1" s="888" t="s">
        <v>1536</v>
      </c>
      <c r="L1" s="888" t="s">
        <v>972</v>
      </c>
      <c r="M1" s="888" t="s">
        <v>1537</v>
      </c>
    </row>
    <row r="2" spans="1:17" ht="63.75" thickBot="1">
      <c r="A2" s="870" t="s">
        <v>11</v>
      </c>
      <c r="B2" s="870" t="s">
        <v>12</v>
      </c>
      <c r="C2" s="870" t="s">
        <v>1538</v>
      </c>
      <c r="D2" s="868" t="s">
        <v>1539</v>
      </c>
      <c r="E2" s="870" t="s">
        <v>1540</v>
      </c>
      <c r="F2" s="870" t="s">
        <v>1541</v>
      </c>
      <c r="G2" s="870" t="s">
        <v>13</v>
      </c>
      <c r="H2" s="871" t="s">
        <v>14</v>
      </c>
      <c r="I2" s="872" t="s">
        <v>1542</v>
      </c>
      <c r="J2" s="872">
        <v>0</v>
      </c>
      <c r="K2" s="890">
        <v>0</v>
      </c>
      <c r="L2" s="891">
        <f>E88</f>
        <v>25931256.25</v>
      </c>
      <c r="M2" s="892">
        <f>I2-J2-K2-L2</f>
        <v>0</v>
      </c>
    </row>
    <row r="3" spans="1:17">
      <c r="L3" s="893">
        <f>L2-E88</f>
        <v>0</v>
      </c>
    </row>
    <row r="6" spans="1:17" s="175" customFormat="1" ht="33" customHeight="1">
      <c r="C6" s="173" t="s">
        <v>277</v>
      </c>
      <c r="D6" s="173" t="s">
        <v>283</v>
      </c>
      <c r="E6" s="173" t="s">
        <v>285</v>
      </c>
      <c r="F6" s="173" t="s">
        <v>1262</v>
      </c>
      <c r="G6" s="173" t="s">
        <v>1544</v>
      </c>
      <c r="H6" s="173" t="s">
        <v>1287</v>
      </c>
      <c r="I6" s="173" t="s">
        <v>1545</v>
      </c>
      <c r="K6" s="902" t="s">
        <v>1262</v>
      </c>
      <c r="L6" s="902" t="s">
        <v>85</v>
      </c>
      <c r="M6" s="902" t="s">
        <v>972</v>
      </c>
      <c r="N6" s="902" t="s">
        <v>63</v>
      </c>
      <c r="O6" s="902" t="s">
        <v>1553</v>
      </c>
      <c r="P6" s="902" t="s">
        <v>1555</v>
      </c>
      <c r="Q6" s="903"/>
    </row>
    <row r="7" spans="1:17">
      <c r="C7" s="93">
        <v>3600102836</v>
      </c>
      <c r="D7" s="79" t="s">
        <v>1543</v>
      </c>
      <c r="E7" s="81">
        <v>597875</v>
      </c>
      <c r="F7" s="874" t="s">
        <v>1071</v>
      </c>
      <c r="G7" s="874">
        <v>1284</v>
      </c>
      <c r="H7" s="875">
        <v>23774</v>
      </c>
      <c r="I7" s="874" t="s">
        <v>1372</v>
      </c>
      <c r="K7" s="904" t="s">
        <v>1548</v>
      </c>
      <c r="L7" s="894">
        <v>7220862.5</v>
      </c>
      <c r="M7" s="895">
        <f>SUM(E43,E45:E47,E50)</f>
        <v>7220862.5</v>
      </c>
      <c r="N7" s="896">
        <f>L7-M7</f>
        <v>0</v>
      </c>
      <c r="O7" s="896">
        <f>M7*100/L7</f>
        <v>100</v>
      </c>
      <c r="P7" s="248" t="s">
        <v>1543</v>
      </c>
    </row>
    <row r="8" spans="1:17">
      <c r="C8" s="93">
        <v>3600102866</v>
      </c>
      <c r="D8" s="79" t="s">
        <v>1543</v>
      </c>
      <c r="E8" s="81">
        <v>683537.5</v>
      </c>
      <c r="F8" s="874" t="s">
        <v>1071</v>
      </c>
      <c r="G8" s="874">
        <v>1285</v>
      </c>
      <c r="H8" s="875">
        <v>23802</v>
      </c>
      <c r="I8" s="874" t="s">
        <v>1372</v>
      </c>
      <c r="K8" s="905" t="s">
        <v>1272</v>
      </c>
      <c r="L8" s="897">
        <v>363375</v>
      </c>
      <c r="M8" s="895">
        <f>SUM(E73,E75,E76)</f>
        <v>363375</v>
      </c>
      <c r="N8" s="896">
        <f t="shared" ref="N8:N24" si="0">L8-M8</f>
        <v>0</v>
      </c>
      <c r="O8" s="896">
        <f t="shared" ref="O8:O25" si="1">M8*100/L8</f>
        <v>100</v>
      </c>
      <c r="P8" s="248" t="s">
        <v>1543</v>
      </c>
    </row>
    <row r="9" spans="1:17">
      <c r="C9" s="93">
        <v>3600102873</v>
      </c>
      <c r="D9" s="79" t="s">
        <v>1543</v>
      </c>
      <c r="E9" s="81">
        <v>545125</v>
      </c>
      <c r="F9" s="874" t="s">
        <v>1071</v>
      </c>
      <c r="G9" s="874">
        <v>1286</v>
      </c>
      <c r="H9" s="875">
        <v>23833</v>
      </c>
      <c r="I9" s="874" t="s">
        <v>1372</v>
      </c>
      <c r="K9" s="905" t="s">
        <v>1071</v>
      </c>
      <c r="L9" s="897">
        <v>2521725</v>
      </c>
      <c r="M9" s="895">
        <f>SUM(E7:E11)</f>
        <v>2521725</v>
      </c>
      <c r="N9" s="896">
        <f t="shared" si="0"/>
        <v>0</v>
      </c>
      <c r="O9" s="896">
        <f t="shared" si="1"/>
        <v>100</v>
      </c>
      <c r="P9" s="248" t="s">
        <v>1543</v>
      </c>
    </row>
    <row r="10" spans="1:17">
      <c r="C10" s="93">
        <v>3600102883</v>
      </c>
      <c r="D10" s="79" t="s">
        <v>1543</v>
      </c>
      <c r="E10" s="81">
        <v>473125</v>
      </c>
      <c r="F10" s="874" t="s">
        <v>1071</v>
      </c>
      <c r="G10" s="874">
        <v>1287</v>
      </c>
      <c r="H10" s="875">
        <v>23863</v>
      </c>
      <c r="I10" s="874" t="s">
        <v>1372</v>
      </c>
      <c r="K10" s="905" t="s">
        <v>1273</v>
      </c>
      <c r="L10" s="897">
        <v>367575</v>
      </c>
      <c r="M10" s="896">
        <f>SUM(E12,E13,E14,E25)</f>
        <v>367575</v>
      </c>
      <c r="N10" s="896">
        <f t="shared" si="0"/>
        <v>0</v>
      </c>
      <c r="O10" s="896">
        <f t="shared" si="1"/>
        <v>100</v>
      </c>
      <c r="P10" s="248" t="s">
        <v>1543</v>
      </c>
    </row>
    <row r="11" spans="1:17">
      <c r="C11" s="93">
        <v>3600102894</v>
      </c>
      <c r="D11" s="79" t="s">
        <v>1543</v>
      </c>
      <c r="E11" s="81">
        <v>222062.5</v>
      </c>
      <c r="F11" s="874" t="s">
        <v>1071</v>
      </c>
      <c r="G11" s="874">
        <v>1288</v>
      </c>
      <c r="H11" s="875">
        <v>23894</v>
      </c>
      <c r="I11" s="874" t="s">
        <v>1372</v>
      </c>
      <c r="K11" s="905" t="s">
        <v>1076</v>
      </c>
      <c r="L11" s="897">
        <v>2191000</v>
      </c>
      <c r="M11" s="895">
        <f>SUM(E66,E68,E72,E74,E77)</f>
        <v>2191000</v>
      </c>
      <c r="N11" s="896">
        <f t="shared" si="0"/>
        <v>0</v>
      </c>
      <c r="O11" s="896">
        <f t="shared" si="1"/>
        <v>100</v>
      </c>
      <c r="P11" s="248" t="s">
        <v>1543</v>
      </c>
    </row>
    <row r="12" spans="1:17">
      <c r="C12" s="93">
        <v>3600102907</v>
      </c>
      <c r="D12" s="79" t="s">
        <v>1543</v>
      </c>
      <c r="E12" s="81">
        <v>125375</v>
      </c>
      <c r="F12" s="874" t="s">
        <v>1068</v>
      </c>
      <c r="G12" s="874">
        <v>1296</v>
      </c>
      <c r="H12" s="875">
        <v>23802</v>
      </c>
      <c r="I12" s="874" t="s">
        <v>237</v>
      </c>
      <c r="K12" s="905" t="s">
        <v>1069</v>
      </c>
      <c r="L12" s="897">
        <v>803843.75</v>
      </c>
      <c r="M12" s="896">
        <f>SUM(E38,E39,E36,E35,E34)</f>
        <v>803843.75</v>
      </c>
      <c r="N12" s="896">
        <f t="shared" si="0"/>
        <v>0</v>
      </c>
      <c r="O12" s="896">
        <f t="shared" si="1"/>
        <v>100</v>
      </c>
      <c r="P12" s="248" t="s">
        <v>1543</v>
      </c>
    </row>
    <row r="13" spans="1:17">
      <c r="C13" s="93">
        <v>3600102914</v>
      </c>
      <c r="D13" s="79" t="s">
        <v>1543</v>
      </c>
      <c r="E13" s="81">
        <v>104500</v>
      </c>
      <c r="F13" s="874" t="s">
        <v>1068</v>
      </c>
      <c r="G13" s="874">
        <v>1297</v>
      </c>
      <c r="H13" s="875">
        <v>23833</v>
      </c>
      <c r="I13" s="874" t="s">
        <v>237</v>
      </c>
      <c r="K13" s="905" t="s">
        <v>1070</v>
      </c>
      <c r="L13" s="897">
        <v>551437.5</v>
      </c>
      <c r="M13" s="895">
        <f>SUM(E65,E67,E69,E70,E71)</f>
        <v>551437.5</v>
      </c>
      <c r="N13" s="896">
        <f t="shared" si="0"/>
        <v>0</v>
      </c>
      <c r="O13" s="896">
        <f t="shared" si="1"/>
        <v>100</v>
      </c>
      <c r="P13" s="248" t="s">
        <v>1543</v>
      </c>
    </row>
    <row r="14" spans="1:17">
      <c r="C14" s="93">
        <v>3600102925</v>
      </c>
      <c r="D14" s="79" t="s">
        <v>1543</v>
      </c>
      <c r="E14" s="81">
        <v>99562.5</v>
      </c>
      <c r="F14" s="874" t="s">
        <v>1068</v>
      </c>
      <c r="G14" s="874">
        <v>1298</v>
      </c>
      <c r="H14" s="875">
        <v>23863</v>
      </c>
      <c r="I14" s="874" t="s">
        <v>237</v>
      </c>
      <c r="K14" s="905" t="s">
        <v>1074</v>
      </c>
      <c r="L14" s="897">
        <v>1821750</v>
      </c>
      <c r="M14" s="895">
        <f>SUM(E17,E18,E19,E21,E23)</f>
        <v>1821750</v>
      </c>
      <c r="N14" s="896">
        <f t="shared" si="0"/>
        <v>0</v>
      </c>
      <c r="O14" s="896">
        <f t="shared" si="1"/>
        <v>100</v>
      </c>
      <c r="P14" s="248" t="s">
        <v>1543</v>
      </c>
    </row>
    <row r="15" spans="1:17">
      <c r="C15" s="93">
        <v>3600102932</v>
      </c>
      <c r="D15" s="79" t="s">
        <v>1543</v>
      </c>
      <c r="E15" s="81">
        <v>94750</v>
      </c>
      <c r="F15" s="874" t="s">
        <v>1077</v>
      </c>
      <c r="G15" s="874">
        <v>1289</v>
      </c>
      <c r="H15" s="875">
        <v>23802</v>
      </c>
      <c r="I15" s="874" t="s">
        <v>203</v>
      </c>
      <c r="K15" s="905" t="s">
        <v>1073</v>
      </c>
      <c r="L15" s="897">
        <v>694500</v>
      </c>
      <c r="M15" s="895">
        <f>SUM(E52,E54,E55,E56)</f>
        <v>694500</v>
      </c>
      <c r="N15" s="896">
        <f t="shared" si="0"/>
        <v>0</v>
      </c>
      <c r="O15" s="896">
        <f t="shared" si="1"/>
        <v>100</v>
      </c>
      <c r="P15" s="248" t="s">
        <v>1543</v>
      </c>
    </row>
    <row r="16" spans="1:17">
      <c r="C16" s="93">
        <v>3600102937</v>
      </c>
      <c r="D16" s="79" t="s">
        <v>1543</v>
      </c>
      <c r="E16" s="81">
        <v>93625</v>
      </c>
      <c r="F16" s="874" t="s">
        <v>1077</v>
      </c>
      <c r="G16" s="874">
        <v>1290</v>
      </c>
      <c r="H16" s="875">
        <v>23833</v>
      </c>
      <c r="I16" s="874" t="s">
        <v>203</v>
      </c>
      <c r="K16" s="905" t="s">
        <v>1067</v>
      </c>
      <c r="L16" s="897">
        <v>2064437.5</v>
      </c>
      <c r="M16" s="895">
        <f>SUM(E78,E79,E80,E81,E82)</f>
        <v>2064437.5</v>
      </c>
      <c r="N16" s="896">
        <f t="shared" si="0"/>
        <v>0</v>
      </c>
      <c r="O16" s="896">
        <f t="shared" si="1"/>
        <v>100</v>
      </c>
      <c r="P16" s="248" t="s">
        <v>1543</v>
      </c>
    </row>
    <row r="17" spans="3:16">
      <c r="C17" s="93">
        <v>3600102939</v>
      </c>
      <c r="D17" s="79" t="s">
        <v>1543</v>
      </c>
      <c r="E17" s="81">
        <v>343875</v>
      </c>
      <c r="F17" s="874" t="s">
        <v>1074</v>
      </c>
      <c r="G17" s="874">
        <v>1299</v>
      </c>
      <c r="H17" s="875">
        <v>23774</v>
      </c>
      <c r="I17" s="874" t="s">
        <v>1036</v>
      </c>
      <c r="K17" s="905" t="s">
        <v>1079</v>
      </c>
      <c r="L17" s="897">
        <v>1107125</v>
      </c>
      <c r="M17" s="895">
        <f>SUM(E26,E27,E28,E30,E32)</f>
        <v>1107125</v>
      </c>
      <c r="N17" s="896">
        <f t="shared" si="0"/>
        <v>0</v>
      </c>
      <c r="O17" s="896">
        <f t="shared" si="1"/>
        <v>100</v>
      </c>
      <c r="P17" s="248" t="s">
        <v>1543</v>
      </c>
    </row>
    <row r="18" spans="3:16">
      <c r="C18" s="93">
        <v>3600102944</v>
      </c>
      <c r="D18" s="79" t="s">
        <v>1543</v>
      </c>
      <c r="E18" s="81">
        <v>502500</v>
      </c>
      <c r="F18" s="874" t="s">
        <v>1074</v>
      </c>
      <c r="G18" s="874">
        <v>1300</v>
      </c>
      <c r="H18" s="875">
        <v>23802</v>
      </c>
      <c r="I18" s="874" t="s">
        <v>1036</v>
      </c>
      <c r="K18" s="905" t="s">
        <v>1072</v>
      </c>
      <c r="L18" s="897">
        <v>730687.5</v>
      </c>
      <c r="M18" s="895">
        <f>SUM(E83,E84,E85,E86,E87)</f>
        <v>730687.5</v>
      </c>
      <c r="N18" s="896">
        <f t="shared" si="0"/>
        <v>0</v>
      </c>
      <c r="O18" s="896">
        <f t="shared" si="1"/>
        <v>100</v>
      </c>
      <c r="P18" s="248" t="s">
        <v>1543</v>
      </c>
    </row>
    <row r="19" spans="3:16">
      <c r="C19" s="93">
        <v>3600102950</v>
      </c>
      <c r="D19" s="79" t="s">
        <v>1543</v>
      </c>
      <c r="E19" s="81">
        <v>438750</v>
      </c>
      <c r="F19" s="874" t="s">
        <v>1074</v>
      </c>
      <c r="G19" s="874">
        <v>1301</v>
      </c>
      <c r="H19" s="875">
        <v>23833</v>
      </c>
      <c r="I19" s="874" t="s">
        <v>1036</v>
      </c>
      <c r="K19" s="905" t="s">
        <v>1078</v>
      </c>
      <c r="L19" s="897">
        <v>2088437.5</v>
      </c>
      <c r="M19" s="896">
        <f>SUM(E40,E41,E42,E44+E37)</f>
        <v>2088437.5</v>
      </c>
      <c r="N19" s="896">
        <f t="shared" si="0"/>
        <v>0</v>
      </c>
      <c r="O19" s="896">
        <f t="shared" si="1"/>
        <v>100</v>
      </c>
      <c r="P19" s="248" t="s">
        <v>1543</v>
      </c>
    </row>
    <row r="20" spans="3:16">
      <c r="C20" s="93">
        <v>3600102951</v>
      </c>
      <c r="D20" s="79" t="s">
        <v>1543</v>
      </c>
      <c r="E20" s="81">
        <v>80625</v>
      </c>
      <c r="F20" s="874" t="s">
        <v>1077</v>
      </c>
      <c r="G20" s="874">
        <v>1291</v>
      </c>
      <c r="H20" s="875">
        <v>23863</v>
      </c>
      <c r="I20" s="874" t="s">
        <v>203</v>
      </c>
      <c r="K20" s="905" t="s">
        <v>1077</v>
      </c>
      <c r="L20" s="897">
        <v>317062.5</v>
      </c>
      <c r="M20" s="895">
        <f>SUM(E15,E16,E20,E22)</f>
        <v>317062.5</v>
      </c>
      <c r="N20" s="896">
        <f t="shared" si="0"/>
        <v>0</v>
      </c>
      <c r="O20" s="896">
        <f t="shared" si="1"/>
        <v>100</v>
      </c>
      <c r="P20" s="248" t="s">
        <v>1543</v>
      </c>
    </row>
    <row r="21" spans="3:16">
      <c r="C21" s="93">
        <v>3600102956</v>
      </c>
      <c r="D21" s="79" t="s">
        <v>1543</v>
      </c>
      <c r="E21" s="81">
        <v>402000</v>
      </c>
      <c r="F21" s="874" t="s">
        <v>1074</v>
      </c>
      <c r="G21" s="874">
        <v>1302</v>
      </c>
      <c r="H21" s="875">
        <v>23863</v>
      </c>
      <c r="I21" s="874" t="s">
        <v>1036</v>
      </c>
      <c r="K21" s="905" t="s">
        <v>1549</v>
      </c>
      <c r="L21" s="897">
        <v>2165937.5</v>
      </c>
      <c r="M21" s="895">
        <f>SUM(E48,E49,E51,E53+E24)</f>
        <v>2165937.5</v>
      </c>
      <c r="N21" s="896">
        <f t="shared" si="0"/>
        <v>0</v>
      </c>
      <c r="O21" s="896">
        <f t="shared" si="1"/>
        <v>100</v>
      </c>
      <c r="P21" s="248" t="s">
        <v>1543</v>
      </c>
    </row>
    <row r="22" spans="3:16">
      <c r="C22" s="93">
        <v>3600102959</v>
      </c>
      <c r="D22" s="79" t="s">
        <v>1543</v>
      </c>
      <c r="E22" s="81">
        <v>48062.5</v>
      </c>
      <c r="F22" s="874" t="s">
        <v>1077</v>
      </c>
      <c r="G22" s="874">
        <v>1292</v>
      </c>
      <c r="H22" s="875">
        <v>243040</v>
      </c>
      <c r="I22" s="874" t="s">
        <v>203</v>
      </c>
      <c r="K22" s="906" t="s">
        <v>1080</v>
      </c>
      <c r="L22" s="897">
        <v>570500</v>
      </c>
      <c r="M22" s="895">
        <f>SUM(E57:E61)</f>
        <v>570500</v>
      </c>
      <c r="N22" s="896">
        <f t="shared" si="0"/>
        <v>0</v>
      </c>
      <c r="O22" s="896">
        <f t="shared" si="1"/>
        <v>100</v>
      </c>
      <c r="P22" s="248" t="s">
        <v>1543</v>
      </c>
    </row>
    <row r="23" spans="3:16">
      <c r="C23" s="93">
        <v>3600102963</v>
      </c>
      <c r="D23" s="79" t="s">
        <v>1543</v>
      </c>
      <c r="E23" s="81">
        <v>134625</v>
      </c>
      <c r="F23" s="874" t="s">
        <v>1074</v>
      </c>
      <c r="G23" s="874">
        <v>1303</v>
      </c>
      <c r="H23" s="875">
        <v>23894</v>
      </c>
      <c r="I23" s="874" t="s">
        <v>1036</v>
      </c>
      <c r="K23" s="905" t="s">
        <v>1550</v>
      </c>
      <c r="L23" s="897">
        <v>298000</v>
      </c>
      <c r="M23" s="895">
        <f>SUM(E62,E63,E64)</f>
        <v>298000</v>
      </c>
      <c r="N23" s="896">
        <f t="shared" si="0"/>
        <v>0</v>
      </c>
      <c r="O23" s="896">
        <f t="shared" si="1"/>
        <v>100</v>
      </c>
      <c r="P23" s="248" t="s">
        <v>1543</v>
      </c>
    </row>
    <row r="24" spans="3:16">
      <c r="C24" s="878">
        <v>3600102971</v>
      </c>
      <c r="D24" s="879" t="s">
        <v>1543</v>
      </c>
      <c r="E24" s="110">
        <v>467375</v>
      </c>
      <c r="F24" s="880" t="s">
        <v>962</v>
      </c>
      <c r="G24" s="880"/>
      <c r="H24" s="880"/>
      <c r="I24" s="880" t="s">
        <v>1546</v>
      </c>
      <c r="K24" s="905" t="s">
        <v>1551</v>
      </c>
      <c r="L24" s="897">
        <v>53000</v>
      </c>
      <c r="M24" s="895">
        <f>SUM(E33,E31,E29)</f>
        <v>53000</v>
      </c>
      <c r="N24" s="896">
        <f t="shared" si="0"/>
        <v>0</v>
      </c>
      <c r="O24" s="896">
        <f t="shared" si="1"/>
        <v>100</v>
      </c>
      <c r="P24" s="248" t="s">
        <v>1543</v>
      </c>
    </row>
    <row r="25" spans="3:16" ht="26.25">
      <c r="C25" s="93">
        <v>3600102972</v>
      </c>
      <c r="D25" s="79" t="s">
        <v>1543</v>
      </c>
      <c r="E25" s="81">
        <v>38137.5</v>
      </c>
      <c r="F25" s="874" t="s">
        <v>1068</v>
      </c>
      <c r="G25" s="874">
        <v>1317</v>
      </c>
      <c r="H25" s="875">
        <v>23894</v>
      </c>
      <c r="I25" s="874" t="s">
        <v>237</v>
      </c>
      <c r="K25" s="910" t="s">
        <v>1552</v>
      </c>
      <c r="L25" s="907">
        <f>SUM(L7:L24)</f>
        <v>25931256.25</v>
      </c>
      <c r="M25" s="907">
        <f t="shared" ref="M25" si="2">SUM(M7:M24)</f>
        <v>25931256.25</v>
      </c>
      <c r="N25" s="907">
        <f>SUM(N7:N24)</f>
        <v>0</v>
      </c>
      <c r="O25" s="908">
        <f t="shared" si="1"/>
        <v>100</v>
      </c>
      <c r="P25" s="909"/>
    </row>
    <row r="26" spans="3:16">
      <c r="C26" s="93">
        <v>3600102986</v>
      </c>
      <c r="D26" s="79" t="s">
        <v>1543</v>
      </c>
      <c r="E26" s="81">
        <v>208000</v>
      </c>
      <c r="F26" s="874" t="s">
        <v>1079</v>
      </c>
      <c r="G26" s="874">
        <v>1318</v>
      </c>
      <c r="H26" s="875">
        <v>23774</v>
      </c>
      <c r="I26" s="874" t="s">
        <v>237</v>
      </c>
    </row>
    <row r="27" spans="3:16">
      <c r="C27" s="93">
        <v>3600102997</v>
      </c>
      <c r="D27" s="79" t="s">
        <v>1543</v>
      </c>
      <c r="E27" s="81">
        <v>284625</v>
      </c>
      <c r="F27" s="874" t="s">
        <v>1079</v>
      </c>
      <c r="G27" s="874">
        <v>1319</v>
      </c>
      <c r="H27" s="875">
        <v>23802</v>
      </c>
      <c r="I27" s="874" t="s">
        <v>237</v>
      </c>
    </row>
    <row r="28" spans="3:16">
      <c r="C28" s="93">
        <v>3600103005</v>
      </c>
      <c r="D28" s="79" t="s">
        <v>1543</v>
      </c>
      <c r="E28" s="81">
        <v>277625</v>
      </c>
      <c r="F28" s="874" t="s">
        <v>1079</v>
      </c>
      <c r="G28" s="874">
        <v>1320</v>
      </c>
      <c r="H28" s="875">
        <v>23833</v>
      </c>
      <c r="I28" s="874" t="s">
        <v>237</v>
      </c>
    </row>
    <row r="29" spans="3:16">
      <c r="C29" s="93">
        <v>3600103010</v>
      </c>
      <c r="D29" s="79" t="s">
        <v>1543</v>
      </c>
      <c r="E29" s="81">
        <v>13000</v>
      </c>
      <c r="F29" s="874" t="s">
        <v>976</v>
      </c>
      <c r="G29" s="874">
        <v>1293</v>
      </c>
      <c r="H29" s="875">
        <v>24077</v>
      </c>
      <c r="I29" s="874" t="s">
        <v>203</v>
      </c>
      <c r="K29" s="898"/>
    </row>
    <row r="30" spans="3:16">
      <c r="C30" s="93">
        <v>3600103014</v>
      </c>
      <c r="D30" s="79" t="s">
        <v>1543</v>
      </c>
      <c r="E30" s="81">
        <v>227000</v>
      </c>
      <c r="F30" s="874" t="s">
        <v>1079</v>
      </c>
      <c r="G30" s="874">
        <v>1321</v>
      </c>
      <c r="H30" s="875">
        <v>23863</v>
      </c>
      <c r="I30" s="874" t="s">
        <v>237</v>
      </c>
    </row>
    <row r="31" spans="3:16">
      <c r="C31" s="93">
        <v>3600103019</v>
      </c>
      <c r="D31" s="79" t="s">
        <v>1543</v>
      </c>
      <c r="E31" s="81">
        <v>25000</v>
      </c>
      <c r="F31" s="874" t="s">
        <v>976</v>
      </c>
      <c r="G31" s="874">
        <v>1294</v>
      </c>
      <c r="H31" s="875">
        <v>23743</v>
      </c>
      <c r="I31" s="874" t="s">
        <v>203</v>
      </c>
    </row>
    <row r="32" spans="3:16">
      <c r="C32" s="93">
        <v>3600103022</v>
      </c>
      <c r="D32" s="79" t="s">
        <v>1543</v>
      </c>
      <c r="E32" s="81">
        <v>109875</v>
      </c>
      <c r="F32" s="874" t="s">
        <v>1079</v>
      </c>
      <c r="G32" s="874">
        <v>1322</v>
      </c>
      <c r="H32" s="875">
        <v>23894</v>
      </c>
      <c r="I32" s="874" t="s">
        <v>237</v>
      </c>
    </row>
    <row r="33" spans="3:9">
      <c r="C33" s="93">
        <v>3600103040</v>
      </c>
      <c r="D33" s="79" t="s">
        <v>1543</v>
      </c>
      <c r="E33" s="81">
        <v>15000</v>
      </c>
      <c r="F33" s="874" t="s">
        <v>976</v>
      </c>
      <c r="G33" s="874">
        <v>1295</v>
      </c>
      <c r="H33" s="876">
        <v>23774</v>
      </c>
      <c r="I33" s="874" t="s">
        <v>203</v>
      </c>
    </row>
    <row r="34" spans="3:9">
      <c r="C34" s="93">
        <v>3600103064</v>
      </c>
      <c r="D34" s="79" t="s">
        <v>1543</v>
      </c>
      <c r="E34" s="81">
        <v>165562.5</v>
      </c>
      <c r="F34" s="874" t="s">
        <v>1069</v>
      </c>
      <c r="G34" s="874">
        <v>1304</v>
      </c>
      <c r="H34" s="875">
        <v>23774</v>
      </c>
      <c r="I34" s="874" t="s">
        <v>1036</v>
      </c>
    </row>
    <row r="35" spans="3:9">
      <c r="C35" s="93">
        <v>3600103070</v>
      </c>
      <c r="D35" s="79" t="s">
        <v>1543</v>
      </c>
      <c r="E35" s="81">
        <v>234375</v>
      </c>
      <c r="F35" s="874" t="s">
        <v>1069</v>
      </c>
      <c r="G35" s="874">
        <v>1305</v>
      </c>
      <c r="H35" s="875">
        <v>23802</v>
      </c>
      <c r="I35" s="874" t="s">
        <v>1036</v>
      </c>
    </row>
    <row r="36" spans="3:9">
      <c r="C36" s="93">
        <v>3600103073</v>
      </c>
      <c r="D36" s="79" t="s">
        <v>1543</v>
      </c>
      <c r="E36" s="81">
        <v>181000</v>
      </c>
      <c r="F36" s="874" t="s">
        <v>1069</v>
      </c>
      <c r="G36" s="874">
        <v>1306</v>
      </c>
      <c r="H36" s="875">
        <v>23833</v>
      </c>
      <c r="I36" s="874" t="s">
        <v>1036</v>
      </c>
    </row>
    <row r="37" spans="3:9">
      <c r="C37" s="93">
        <v>3600103074</v>
      </c>
      <c r="D37" s="79" t="s">
        <v>1543</v>
      </c>
      <c r="E37" s="81">
        <v>427125</v>
      </c>
      <c r="F37" s="874" t="s">
        <v>1078</v>
      </c>
      <c r="G37" s="874">
        <v>1333</v>
      </c>
      <c r="H37" s="875">
        <v>23774</v>
      </c>
      <c r="I37" s="874" t="s">
        <v>1547</v>
      </c>
    </row>
    <row r="38" spans="3:9">
      <c r="C38" s="878">
        <v>3600103078</v>
      </c>
      <c r="D38" s="879" t="s">
        <v>1543</v>
      </c>
      <c r="E38" s="110">
        <v>156375</v>
      </c>
      <c r="F38" s="880" t="s">
        <v>1069</v>
      </c>
      <c r="G38" s="880">
        <v>1307</v>
      </c>
      <c r="H38" s="881">
        <v>23863</v>
      </c>
      <c r="I38" s="880" t="s">
        <v>1036</v>
      </c>
    </row>
    <row r="39" spans="3:9">
      <c r="C39" s="93">
        <v>3600103081</v>
      </c>
      <c r="D39" s="79" t="s">
        <v>1543</v>
      </c>
      <c r="E39" s="81">
        <v>66531.25</v>
      </c>
      <c r="F39" s="874" t="s">
        <v>1069</v>
      </c>
      <c r="G39" s="874">
        <v>1308</v>
      </c>
      <c r="H39" s="875">
        <v>23894</v>
      </c>
      <c r="I39" s="874" t="s">
        <v>1036</v>
      </c>
    </row>
    <row r="40" spans="3:9">
      <c r="C40" s="93">
        <v>3600103084</v>
      </c>
      <c r="D40" s="79" t="s">
        <v>1543</v>
      </c>
      <c r="E40" s="81">
        <v>542875</v>
      </c>
      <c r="F40" s="874" t="s">
        <v>1078</v>
      </c>
      <c r="G40" s="874">
        <v>1334</v>
      </c>
      <c r="H40" s="875">
        <v>23802</v>
      </c>
      <c r="I40" s="874" t="s">
        <v>1036</v>
      </c>
    </row>
    <row r="41" spans="3:9">
      <c r="C41" s="93">
        <v>3600103090</v>
      </c>
      <c r="D41" s="79" t="s">
        <v>1543</v>
      </c>
      <c r="E41" s="882">
        <v>574750</v>
      </c>
      <c r="F41" s="874" t="s">
        <v>1078</v>
      </c>
      <c r="G41" s="874">
        <v>1335</v>
      </c>
      <c r="H41" s="875">
        <v>23833</v>
      </c>
      <c r="I41" s="874" t="s">
        <v>1547</v>
      </c>
    </row>
    <row r="42" spans="3:9">
      <c r="C42" s="93">
        <v>3600103098</v>
      </c>
      <c r="D42" s="79" t="s">
        <v>1543</v>
      </c>
      <c r="E42" s="882">
        <v>441125</v>
      </c>
      <c r="F42" s="874" t="s">
        <v>1078</v>
      </c>
      <c r="G42" s="874">
        <v>1336</v>
      </c>
      <c r="H42" s="875">
        <v>23863</v>
      </c>
      <c r="I42" s="874" t="s">
        <v>1547</v>
      </c>
    </row>
    <row r="43" spans="3:9">
      <c r="C43" s="93">
        <v>3600103100</v>
      </c>
      <c r="D43" s="79" t="s">
        <v>1543</v>
      </c>
      <c r="E43" s="882">
        <v>1206187.5</v>
      </c>
      <c r="F43" s="874" t="s">
        <v>1548</v>
      </c>
      <c r="G43" s="874">
        <v>1353</v>
      </c>
      <c r="H43" s="875">
        <v>23774</v>
      </c>
      <c r="I43" s="874" t="s">
        <v>1036</v>
      </c>
    </row>
    <row r="44" spans="3:9">
      <c r="C44" s="93">
        <v>3600103104</v>
      </c>
      <c r="D44" s="79" t="s">
        <v>1543</v>
      </c>
      <c r="E44" s="882">
        <v>102562.5</v>
      </c>
      <c r="F44" s="874" t="s">
        <v>1078</v>
      </c>
      <c r="G44" s="874">
        <v>1337</v>
      </c>
      <c r="H44" s="875">
        <v>23894</v>
      </c>
      <c r="I44" s="874" t="s">
        <v>1547</v>
      </c>
    </row>
    <row r="45" spans="3:9">
      <c r="C45" s="93">
        <v>3600103105</v>
      </c>
      <c r="D45" s="79" t="s">
        <v>1543</v>
      </c>
      <c r="E45" s="882">
        <v>1941125</v>
      </c>
      <c r="F45" s="81" t="s">
        <v>1548</v>
      </c>
      <c r="G45" s="874">
        <v>1353</v>
      </c>
      <c r="H45" s="875">
        <v>23774</v>
      </c>
      <c r="I45" s="874" t="s">
        <v>1036</v>
      </c>
    </row>
    <row r="46" spans="3:9">
      <c r="C46" s="93">
        <v>3600103109</v>
      </c>
      <c r="D46" s="79" t="s">
        <v>1543</v>
      </c>
      <c r="E46" s="882">
        <v>1942675</v>
      </c>
      <c r="F46" s="81" t="s">
        <v>1548</v>
      </c>
      <c r="G46" s="874">
        <v>1354</v>
      </c>
      <c r="H46" s="875">
        <v>23802</v>
      </c>
      <c r="I46" s="874" t="s">
        <v>1036</v>
      </c>
    </row>
    <row r="47" spans="3:9">
      <c r="C47" s="93">
        <v>3600103115</v>
      </c>
      <c r="D47" s="79" t="s">
        <v>1543</v>
      </c>
      <c r="E47" s="882">
        <v>1568625</v>
      </c>
      <c r="F47" s="81" t="s">
        <v>1548</v>
      </c>
      <c r="G47" s="874">
        <v>1355</v>
      </c>
      <c r="H47" s="875">
        <v>23833</v>
      </c>
      <c r="I47" s="874" t="s">
        <v>1036</v>
      </c>
    </row>
    <row r="48" spans="3:9">
      <c r="C48" s="93">
        <v>3600103116</v>
      </c>
      <c r="D48" s="79" t="s">
        <v>1543</v>
      </c>
      <c r="E48" s="882">
        <v>532375</v>
      </c>
      <c r="F48" s="874" t="s">
        <v>962</v>
      </c>
      <c r="G48" s="874">
        <v>1356</v>
      </c>
      <c r="H48" s="875">
        <v>23863</v>
      </c>
      <c r="I48" s="874" t="s">
        <v>1036</v>
      </c>
    </row>
    <row r="49" spans="3:9">
      <c r="C49" s="93">
        <v>3600103120</v>
      </c>
      <c r="D49" s="79" t="s">
        <v>1543</v>
      </c>
      <c r="E49" s="882">
        <v>473250</v>
      </c>
      <c r="F49" s="874" t="s">
        <v>962</v>
      </c>
      <c r="G49" s="874">
        <v>1325</v>
      </c>
      <c r="H49" s="875">
        <v>23833</v>
      </c>
      <c r="I49" s="874" t="s">
        <v>1546</v>
      </c>
    </row>
    <row r="50" spans="3:9">
      <c r="C50" s="93">
        <v>3600103122</v>
      </c>
      <c r="D50" s="79" t="s">
        <v>1543</v>
      </c>
      <c r="E50" s="882">
        <v>562250</v>
      </c>
      <c r="F50" s="874" t="s">
        <v>1548</v>
      </c>
      <c r="G50" s="874">
        <v>1357</v>
      </c>
      <c r="H50" s="875">
        <v>23894</v>
      </c>
      <c r="I50" s="874" t="s">
        <v>1036</v>
      </c>
    </row>
    <row r="51" spans="3:9">
      <c r="C51" s="93">
        <v>3600103124</v>
      </c>
      <c r="D51" s="79" t="s">
        <v>1543</v>
      </c>
      <c r="E51" s="882">
        <v>452625</v>
      </c>
      <c r="F51" s="874" t="s">
        <v>962</v>
      </c>
      <c r="G51" s="874">
        <v>1326</v>
      </c>
      <c r="H51" s="875">
        <v>23863</v>
      </c>
      <c r="I51" s="874" t="s">
        <v>1546</v>
      </c>
    </row>
    <row r="52" spans="3:9">
      <c r="C52" s="93">
        <v>3600103127</v>
      </c>
      <c r="D52" s="79" t="s">
        <v>1543</v>
      </c>
      <c r="E52" s="882">
        <v>197750</v>
      </c>
      <c r="F52" s="874" t="s">
        <v>1073</v>
      </c>
      <c r="G52" s="874">
        <v>1344</v>
      </c>
      <c r="H52" s="875">
        <v>23802</v>
      </c>
      <c r="I52" s="874" t="s">
        <v>1036</v>
      </c>
    </row>
    <row r="53" spans="3:9">
      <c r="C53" s="93">
        <v>3600103128</v>
      </c>
      <c r="D53" s="79" t="s">
        <v>1543</v>
      </c>
      <c r="E53" s="882">
        <v>240312.5</v>
      </c>
      <c r="F53" s="874" t="s">
        <v>962</v>
      </c>
      <c r="G53" s="874">
        <v>1327</v>
      </c>
      <c r="H53" s="875">
        <v>23894</v>
      </c>
      <c r="I53" s="874" t="s">
        <v>1546</v>
      </c>
    </row>
    <row r="54" spans="3:9">
      <c r="C54" s="93">
        <v>3600103129</v>
      </c>
      <c r="D54" s="79" t="s">
        <v>1543</v>
      </c>
      <c r="E54" s="882">
        <v>224500</v>
      </c>
      <c r="F54" s="874" t="s">
        <v>1073</v>
      </c>
      <c r="G54" s="874">
        <v>1345</v>
      </c>
      <c r="H54" s="875">
        <v>23833</v>
      </c>
      <c r="I54" s="874" t="s">
        <v>1036</v>
      </c>
    </row>
    <row r="55" spans="3:9">
      <c r="C55" s="93">
        <v>3600103131</v>
      </c>
      <c r="D55" s="79" t="s">
        <v>1543</v>
      </c>
      <c r="E55" s="882">
        <v>202875</v>
      </c>
      <c r="F55" s="874" t="s">
        <v>1073</v>
      </c>
      <c r="G55" s="874">
        <v>1346</v>
      </c>
      <c r="H55" s="875">
        <v>23863</v>
      </c>
      <c r="I55" s="874" t="s">
        <v>1036</v>
      </c>
    </row>
    <row r="56" spans="3:9">
      <c r="C56" s="93">
        <v>3600103134</v>
      </c>
      <c r="D56" s="79" t="s">
        <v>1543</v>
      </c>
      <c r="E56" s="882">
        <v>69375</v>
      </c>
      <c r="F56" s="874" t="s">
        <v>1073</v>
      </c>
      <c r="G56" s="874">
        <v>1347</v>
      </c>
      <c r="H56" s="875">
        <v>23894</v>
      </c>
      <c r="I56" s="874" t="s">
        <v>1036</v>
      </c>
    </row>
    <row r="57" spans="3:9">
      <c r="C57" s="93">
        <v>3600103136</v>
      </c>
      <c r="D57" s="79" t="s">
        <v>1543</v>
      </c>
      <c r="E57" s="882">
        <v>104250</v>
      </c>
      <c r="F57" s="874" t="s">
        <v>1080</v>
      </c>
      <c r="G57" s="874">
        <v>1348</v>
      </c>
      <c r="H57" s="875">
        <v>23774</v>
      </c>
      <c r="I57" s="874" t="s">
        <v>1036</v>
      </c>
    </row>
    <row r="58" spans="3:9">
      <c r="C58" s="93">
        <v>3600103139</v>
      </c>
      <c r="D58" s="79" t="s">
        <v>1543</v>
      </c>
      <c r="E58" s="882">
        <v>181125</v>
      </c>
      <c r="F58" s="874" t="s">
        <v>1080</v>
      </c>
      <c r="G58" s="874">
        <v>1349</v>
      </c>
      <c r="H58" s="875">
        <v>23802</v>
      </c>
      <c r="I58" s="874" t="s">
        <v>1036</v>
      </c>
    </row>
    <row r="59" spans="3:9">
      <c r="C59" s="93">
        <v>3600103140</v>
      </c>
      <c r="D59" s="79" t="s">
        <v>1543</v>
      </c>
      <c r="E59" s="882">
        <v>134500</v>
      </c>
      <c r="F59" s="874" t="s">
        <v>1080</v>
      </c>
      <c r="G59" s="874">
        <v>1350</v>
      </c>
      <c r="H59" s="875">
        <v>23833</v>
      </c>
      <c r="I59" s="874" t="s">
        <v>1036</v>
      </c>
    </row>
    <row r="60" spans="3:9">
      <c r="C60" s="93">
        <v>3600103142</v>
      </c>
      <c r="D60" s="79" t="s">
        <v>1543</v>
      </c>
      <c r="E60" s="882">
        <v>102750</v>
      </c>
      <c r="F60" s="874" t="s">
        <v>1080</v>
      </c>
      <c r="G60" s="874">
        <v>1351</v>
      </c>
      <c r="H60" s="875">
        <v>23863</v>
      </c>
      <c r="I60" s="874" t="s">
        <v>1036</v>
      </c>
    </row>
    <row r="61" spans="3:9">
      <c r="C61" s="93">
        <v>3600103143</v>
      </c>
      <c r="D61" s="79" t="s">
        <v>1543</v>
      </c>
      <c r="E61" s="882">
        <v>47875</v>
      </c>
      <c r="F61" s="874" t="s">
        <v>1080</v>
      </c>
      <c r="G61" s="874">
        <v>1352</v>
      </c>
      <c r="H61" s="875">
        <v>23894</v>
      </c>
      <c r="I61" s="874" t="s">
        <v>1036</v>
      </c>
    </row>
    <row r="62" spans="3:9">
      <c r="C62" s="93">
        <v>3600103145</v>
      </c>
      <c r="D62" s="79" t="s">
        <v>1543</v>
      </c>
      <c r="E62" s="882">
        <v>179500</v>
      </c>
      <c r="F62" s="874" t="s">
        <v>1554</v>
      </c>
      <c r="G62" s="874">
        <v>1358</v>
      </c>
      <c r="H62" s="875">
        <v>23833</v>
      </c>
      <c r="I62" s="874" t="s">
        <v>1036</v>
      </c>
    </row>
    <row r="63" spans="3:9">
      <c r="C63" s="93">
        <v>3600103147</v>
      </c>
      <c r="D63" s="79" t="s">
        <v>1543</v>
      </c>
      <c r="E63" s="882">
        <v>114500</v>
      </c>
      <c r="F63" s="874" t="s">
        <v>1554</v>
      </c>
      <c r="G63" s="874">
        <v>1359</v>
      </c>
      <c r="H63" s="875">
        <v>23863</v>
      </c>
      <c r="I63" s="874" t="s">
        <v>1036</v>
      </c>
    </row>
    <row r="64" spans="3:9">
      <c r="C64" s="93">
        <v>3600103150</v>
      </c>
      <c r="D64" s="79" t="s">
        <v>1543</v>
      </c>
      <c r="E64" s="882">
        <v>4000</v>
      </c>
      <c r="F64" s="874" t="s">
        <v>1554</v>
      </c>
      <c r="G64" s="874">
        <v>1360</v>
      </c>
      <c r="H64" s="875">
        <v>23894</v>
      </c>
      <c r="I64" s="874" t="s">
        <v>1036</v>
      </c>
    </row>
    <row r="65" spans="3:16">
      <c r="C65" s="93">
        <v>3600103153</v>
      </c>
      <c r="D65" s="79" t="s">
        <v>1543</v>
      </c>
      <c r="E65" s="882">
        <v>99125</v>
      </c>
      <c r="F65" s="874" t="s">
        <v>1070</v>
      </c>
      <c r="G65" s="874">
        <v>1309</v>
      </c>
      <c r="H65" s="875">
        <v>23774</v>
      </c>
      <c r="I65" s="874" t="s">
        <v>1036</v>
      </c>
    </row>
    <row r="66" spans="3:16">
      <c r="C66" s="93">
        <v>3600103157</v>
      </c>
      <c r="D66" s="79" t="s">
        <v>1543</v>
      </c>
      <c r="E66" s="882">
        <v>397250</v>
      </c>
      <c r="F66" s="874" t="s">
        <v>1076</v>
      </c>
      <c r="G66" s="874">
        <v>1328</v>
      </c>
      <c r="H66" s="875">
        <v>23774</v>
      </c>
      <c r="I66" s="874" t="s">
        <v>1547</v>
      </c>
    </row>
    <row r="67" spans="3:16">
      <c r="C67" s="93">
        <v>3600103159</v>
      </c>
      <c r="D67" s="79" t="s">
        <v>1543</v>
      </c>
      <c r="E67" s="882">
        <v>160000</v>
      </c>
      <c r="F67" s="874" t="s">
        <v>1070</v>
      </c>
      <c r="G67" s="874">
        <v>1310</v>
      </c>
      <c r="H67" s="875">
        <v>23802</v>
      </c>
      <c r="I67" s="874" t="s">
        <v>1036</v>
      </c>
    </row>
    <row r="68" spans="3:16">
      <c r="C68" s="93">
        <v>3600103162</v>
      </c>
      <c r="D68" s="79" t="s">
        <v>1543</v>
      </c>
      <c r="E68" s="882">
        <v>646625</v>
      </c>
      <c r="F68" s="874" t="s">
        <v>1076</v>
      </c>
      <c r="G68" s="874">
        <v>1329</v>
      </c>
      <c r="H68" s="875">
        <v>23802</v>
      </c>
      <c r="I68" s="874" t="s">
        <v>1547</v>
      </c>
    </row>
    <row r="69" spans="3:16">
      <c r="C69" s="93">
        <v>3600103163</v>
      </c>
      <c r="D69" s="79" t="s">
        <v>1543</v>
      </c>
      <c r="E69" s="882">
        <v>136750</v>
      </c>
      <c r="F69" s="874" t="s">
        <v>1070</v>
      </c>
      <c r="G69" s="874">
        <v>1311</v>
      </c>
      <c r="H69" s="875">
        <v>23833</v>
      </c>
      <c r="I69" s="874" t="s">
        <v>1036</v>
      </c>
    </row>
    <row r="70" spans="3:16">
      <c r="C70" s="93">
        <v>3600103164</v>
      </c>
      <c r="D70" s="79" t="s">
        <v>1543</v>
      </c>
      <c r="E70" s="882">
        <v>111750</v>
      </c>
      <c r="F70" s="874" t="s">
        <v>1070</v>
      </c>
      <c r="G70" s="874">
        <v>1312</v>
      </c>
      <c r="H70" s="875">
        <v>23863</v>
      </c>
      <c r="I70" s="874" t="s">
        <v>1036</v>
      </c>
    </row>
    <row r="71" spans="3:16">
      <c r="C71" s="93">
        <v>3600103165</v>
      </c>
      <c r="D71" s="79" t="s">
        <v>1543</v>
      </c>
      <c r="E71" s="882">
        <v>43812.5</v>
      </c>
      <c r="F71" s="874" t="s">
        <v>1070</v>
      </c>
      <c r="G71" s="874">
        <v>1313</v>
      </c>
      <c r="H71" s="875">
        <v>23894</v>
      </c>
      <c r="I71" s="874" t="s">
        <v>1036</v>
      </c>
    </row>
    <row r="72" spans="3:16">
      <c r="C72" s="93">
        <v>3600103167</v>
      </c>
      <c r="D72" s="79" t="s">
        <v>1543</v>
      </c>
      <c r="E72" s="882">
        <v>573000</v>
      </c>
      <c r="F72" s="874" t="s">
        <v>1076</v>
      </c>
      <c r="G72" s="874">
        <v>1330</v>
      </c>
      <c r="H72" s="875">
        <v>23833</v>
      </c>
      <c r="I72" s="874" t="s">
        <v>1547</v>
      </c>
    </row>
    <row r="73" spans="3:16">
      <c r="C73" s="93">
        <v>3600103168</v>
      </c>
      <c r="D73" s="79" t="s">
        <v>1543</v>
      </c>
      <c r="E73" s="882">
        <v>178750</v>
      </c>
      <c r="F73" s="874" t="s">
        <v>1272</v>
      </c>
      <c r="G73" s="874">
        <v>1314</v>
      </c>
      <c r="H73" s="875">
        <v>23833</v>
      </c>
      <c r="I73" s="874" t="s">
        <v>1547</v>
      </c>
    </row>
    <row r="74" spans="3:16" s="887" customFormat="1">
      <c r="C74" s="67">
        <v>3600103170</v>
      </c>
      <c r="D74" s="21" t="s">
        <v>1543</v>
      </c>
      <c r="E74" s="753">
        <v>408375</v>
      </c>
      <c r="F74" s="883" t="s">
        <v>1076</v>
      </c>
      <c r="G74" s="883">
        <v>1331</v>
      </c>
      <c r="H74" s="884">
        <v>23863</v>
      </c>
      <c r="I74" s="883" t="s">
        <v>1547</v>
      </c>
      <c r="K74" s="899"/>
      <c r="L74" s="900"/>
      <c r="M74" s="901"/>
      <c r="N74" s="901"/>
      <c r="O74" s="901"/>
      <c r="P74" s="901"/>
    </row>
    <row r="75" spans="3:16">
      <c r="C75" s="93">
        <v>3600103171</v>
      </c>
      <c r="D75" s="79" t="s">
        <v>1543</v>
      </c>
      <c r="E75" s="882">
        <v>126500</v>
      </c>
      <c r="F75" s="874" t="s">
        <v>1272</v>
      </c>
      <c r="G75" s="874">
        <v>1315</v>
      </c>
      <c r="H75" s="875">
        <v>23863</v>
      </c>
      <c r="I75" s="874" t="s">
        <v>1547</v>
      </c>
    </row>
    <row r="76" spans="3:16">
      <c r="C76" s="93">
        <v>3600103173</v>
      </c>
      <c r="D76" s="79" t="s">
        <v>1543</v>
      </c>
      <c r="E76" s="882">
        <v>58125</v>
      </c>
      <c r="F76" s="874" t="s">
        <v>1272</v>
      </c>
      <c r="G76" s="874">
        <v>1316</v>
      </c>
      <c r="H76" s="875">
        <v>23894</v>
      </c>
      <c r="I76" s="874" t="s">
        <v>1547</v>
      </c>
    </row>
    <row r="77" spans="3:16">
      <c r="C77" s="93">
        <v>3600103174</v>
      </c>
      <c r="D77" s="79" t="s">
        <v>1543</v>
      </c>
      <c r="E77" s="882">
        <v>165750</v>
      </c>
      <c r="F77" s="874" t="s">
        <v>1076</v>
      </c>
      <c r="G77" s="874">
        <v>1332</v>
      </c>
      <c r="H77" s="875">
        <v>23894</v>
      </c>
      <c r="I77" s="874" t="s">
        <v>1547</v>
      </c>
    </row>
    <row r="78" spans="3:16">
      <c r="C78" s="93">
        <v>3600103176</v>
      </c>
      <c r="D78" s="79" t="s">
        <v>1543</v>
      </c>
      <c r="E78" s="882">
        <v>438375</v>
      </c>
      <c r="F78" s="874" t="s">
        <v>1067</v>
      </c>
      <c r="G78" s="874">
        <v>1338</v>
      </c>
      <c r="H78" s="875">
        <v>23774</v>
      </c>
      <c r="I78" s="874" t="s">
        <v>1547</v>
      </c>
    </row>
    <row r="79" spans="3:16">
      <c r="C79" s="93">
        <v>3600103178</v>
      </c>
      <c r="D79" s="79" t="s">
        <v>1543</v>
      </c>
      <c r="E79" s="882">
        <v>571250</v>
      </c>
      <c r="F79" s="874" t="s">
        <v>1067</v>
      </c>
      <c r="G79" s="874">
        <v>1339</v>
      </c>
      <c r="H79" s="875">
        <v>23802</v>
      </c>
      <c r="I79" s="874" t="s">
        <v>1547</v>
      </c>
    </row>
    <row r="80" spans="3:16">
      <c r="C80" s="93">
        <v>3600103183</v>
      </c>
      <c r="D80" s="79" t="s">
        <v>1543</v>
      </c>
      <c r="E80" s="882">
        <v>504375</v>
      </c>
      <c r="F80" s="874" t="s">
        <v>1067</v>
      </c>
      <c r="G80" s="874">
        <v>1340</v>
      </c>
      <c r="H80" s="875">
        <v>23833</v>
      </c>
      <c r="I80" s="874" t="s">
        <v>1547</v>
      </c>
    </row>
    <row r="81" spans="3:9">
      <c r="C81" s="93">
        <v>3600103185</v>
      </c>
      <c r="D81" s="79" t="s">
        <v>1543</v>
      </c>
      <c r="E81" s="885">
        <v>404375</v>
      </c>
      <c r="F81" s="874" t="s">
        <v>1067</v>
      </c>
      <c r="G81" s="874">
        <v>1341</v>
      </c>
      <c r="H81" s="886">
        <v>23863</v>
      </c>
      <c r="I81" s="874" t="s">
        <v>1547</v>
      </c>
    </row>
    <row r="82" spans="3:9">
      <c r="C82" s="93">
        <v>3600103186</v>
      </c>
      <c r="D82" s="79" t="s">
        <v>1543</v>
      </c>
      <c r="E82" s="882">
        <v>146062.5</v>
      </c>
      <c r="F82" s="874" t="s">
        <v>1067</v>
      </c>
      <c r="G82" s="874">
        <v>1342</v>
      </c>
      <c r="H82" s="875">
        <v>23894</v>
      </c>
      <c r="I82" s="874" t="s">
        <v>1547</v>
      </c>
    </row>
    <row r="83" spans="3:9">
      <c r="C83" s="93">
        <v>3600103189</v>
      </c>
      <c r="D83" s="79" t="s">
        <v>1543</v>
      </c>
      <c r="E83" s="885">
        <v>119500</v>
      </c>
      <c r="F83" s="874" t="s">
        <v>1072</v>
      </c>
      <c r="G83" s="874">
        <v>1361</v>
      </c>
      <c r="H83" s="875">
        <v>23774</v>
      </c>
      <c r="I83" s="874" t="s">
        <v>1036</v>
      </c>
    </row>
    <row r="84" spans="3:9">
      <c r="C84" s="93">
        <v>3600103190</v>
      </c>
      <c r="D84" s="79" t="s">
        <v>1543</v>
      </c>
      <c r="E84" s="882">
        <v>234125</v>
      </c>
      <c r="F84" s="874" t="s">
        <v>1072</v>
      </c>
      <c r="G84" s="874">
        <v>1362</v>
      </c>
      <c r="H84" s="875">
        <v>23802</v>
      </c>
      <c r="I84" s="874" t="s">
        <v>1036</v>
      </c>
    </row>
    <row r="85" spans="3:9">
      <c r="C85" s="93">
        <v>3600103191</v>
      </c>
      <c r="D85" s="79" t="s">
        <v>1543</v>
      </c>
      <c r="E85" s="882">
        <v>184500</v>
      </c>
      <c r="F85" s="874" t="s">
        <v>1072</v>
      </c>
      <c r="G85" s="874">
        <v>1363</v>
      </c>
      <c r="H85" s="875">
        <v>23833</v>
      </c>
      <c r="I85" s="874" t="s">
        <v>1036</v>
      </c>
    </row>
    <row r="86" spans="3:9">
      <c r="C86" s="93">
        <v>3600103192</v>
      </c>
      <c r="D86" s="79" t="s">
        <v>1543</v>
      </c>
      <c r="E86" s="882">
        <v>134250</v>
      </c>
      <c r="F86" s="874" t="s">
        <v>1072</v>
      </c>
      <c r="G86" s="874">
        <v>1364</v>
      </c>
      <c r="H86" s="886">
        <v>23863</v>
      </c>
      <c r="I86" s="874" t="s">
        <v>1036</v>
      </c>
    </row>
    <row r="87" spans="3:9">
      <c r="C87" s="93">
        <v>3600103193</v>
      </c>
      <c r="D87" s="79" t="s">
        <v>1543</v>
      </c>
      <c r="E87" s="882">
        <v>58312.5</v>
      </c>
      <c r="F87" s="874" t="s">
        <v>1072</v>
      </c>
      <c r="G87" s="874">
        <v>1365</v>
      </c>
      <c r="H87" s="875">
        <v>23894</v>
      </c>
      <c r="I87" s="874" t="s">
        <v>1036</v>
      </c>
    </row>
    <row r="88" spans="3:9">
      <c r="C88" s="93" t="s">
        <v>306</v>
      </c>
      <c r="D88" s="79"/>
      <c r="E88" s="81">
        <f>SUM(E7:E87)</f>
        <v>25931256.25</v>
      </c>
      <c r="F88" s="874"/>
      <c r="G88" s="874"/>
      <c r="H88" s="874"/>
      <c r="I88" s="874"/>
    </row>
    <row r="89" spans="3:9">
      <c r="E89" s="877"/>
    </row>
  </sheetData>
  <pageMargins left="0.98425196850393704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3"/>
  <sheetViews>
    <sheetView topLeftCell="A70" workbookViewId="0">
      <selection activeCell="H231" sqref="H231"/>
    </sheetView>
  </sheetViews>
  <sheetFormatPr defaultColWidth="9" defaultRowHeight="18.75"/>
  <cols>
    <col min="1" max="1" width="7.625" style="424" customWidth="1"/>
    <col min="2" max="2" width="30.375" style="424" customWidth="1"/>
    <col min="3" max="3" width="15.375" style="655" customWidth="1"/>
    <col min="4" max="5" width="15.375" style="424" customWidth="1"/>
    <col min="6" max="7" width="13.875" style="424" hidden="1" customWidth="1"/>
    <col min="8" max="8" width="15.875" style="424" customWidth="1"/>
    <col min="9" max="9" width="10.5" style="424" customWidth="1"/>
    <col min="10" max="10" width="3.875" style="424" customWidth="1"/>
    <col min="11" max="11" width="17.25" style="424" customWidth="1"/>
    <col min="12" max="13" width="10.125" style="424" bestFit="1" customWidth="1"/>
    <col min="14" max="14" width="9.125" style="424" customWidth="1"/>
    <col min="15" max="15" width="10.625" style="424" customWidth="1"/>
    <col min="16" max="16" width="10.125" style="424" bestFit="1" customWidth="1"/>
    <col min="17" max="17" width="10.875" style="772" bestFit="1" customWidth="1"/>
    <col min="18" max="16384" width="9" style="424"/>
  </cols>
  <sheetData>
    <row r="1" spans="1:9">
      <c r="A1" s="1104"/>
      <c r="B1" s="1104"/>
      <c r="C1" s="1104"/>
      <c r="D1" s="1104"/>
      <c r="E1" s="1104"/>
      <c r="F1" s="1104"/>
      <c r="G1" s="1104"/>
      <c r="H1" s="1104"/>
    </row>
    <row r="2" spans="1:9" hidden="1">
      <c r="A2" s="1105" t="s">
        <v>1260</v>
      </c>
      <c r="B2" s="1105"/>
      <c r="C2" s="1105"/>
      <c r="D2" s="1105"/>
      <c r="E2" s="1105"/>
      <c r="F2" s="1105"/>
      <c r="G2" s="1105"/>
      <c r="H2" s="1105"/>
    </row>
    <row r="3" spans="1:9" hidden="1">
      <c r="A3" s="1105" t="s">
        <v>1261</v>
      </c>
      <c r="B3" s="1105"/>
      <c r="C3" s="1105"/>
      <c r="D3" s="1105"/>
      <c r="E3" s="1105"/>
      <c r="F3" s="1105"/>
      <c r="G3" s="1105"/>
      <c r="H3" s="1105"/>
    </row>
    <row r="4" spans="1:9" hidden="1">
      <c r="A4" s="1096"/>
      <c r="B4" s="1096"/>
      <c r="C4" s="1096"/>
      <c r="D4" s="1096"/>
      <c r="E4" s="1096"/>
      <c r="F4" s="1096"/>
      <c r="G4" s="1096"/>
      <c r="H4" s="1096"/>
    </row>
    <row r="5" spans="1:9" hidden="1">
      <c r="A5" s="1097" t="s">
        <v>128</v>
      </c>
      <c r="B5" s="1097" t="s">
        <v>1262</v>
      </c>
      <c r="C5" s="1099" t="s">
        <v>1263</v>
      </c>
      <c r="D5" s="1099"/>
      <c r="E5" s="1099"/>
      <c r="F5" s="1099"/>
      <c r="G5" s="1099"/>
      <c r="H5" s="1099"/>
    </row>
    <row r="6" spans="1:9" hidden="1">
      <c r="A6" s="1092"/>
      <c r="B6" s="1092"/>
      <c r="C6" s="1100" t="s">
        <v>1264</v>
      </c>
      <c r="D6" s="1102" t="s">
        <v>1265</v>
      </c>
      <c r="E6" s="1103"/>
      <c r="F6" s="1080" t="s">
        <v>1266</v>
      </c>
      <c r="G6" s="1080" t="s">
        <v>1267</v>
      </c>
      <c r="H6" s="1086" t="s">
        <v>1268</v>
      </c>
    </row>
    <row r="7" spans="1:9" hidden="1">
      <c r="A7" s="1098"/>
      <c r="B7" s="1098"/>
      <c r="C7" s="1101"/>
      <c r="D7" s="425" t="s">
        <v>1269</v>
      </c>
      <c r="E7" s="426" t="s">
        <v>1270</v>
      </c>
      <c r="F7" s="1080"/>
      <c r="G7" s="1080"/>
      <c r="H7" s="1086"/>
    </row>
    <row r="8" spans="1:9" hidden="1">
      <c r="A8" s="427">
        <v>1</v>
      </c>
      <c r="B8" s="428" t="s">
        <v>1271</v>
      </c>
      <c r="C8" s="638">
        <f>[3]ยาเสพติดปี66!C7</f>
        <v>18500</v>
      </c>
      <c r="D8" s="429">
        <v>18500</v>
      </c>
      <c r="E8" s="430">
        <f>[3]ยาเสพติดปี66!H7</f>
        <v>0</v>
      </c>
      <c r="F8" s="431">
        <f>D8+E8</f>
        <v>18500</v>
      </c>
      <c r="G8" s="432">
        <f>F8*100/C8</f>
        <v>100</v>
      </c>
      <c r="H8" s="429">
        <f>C8-F8</f>
        <v>0</v>
      </c>
    </row>
    <row r="9" spans="1:9" hidden="1">
      <c r="A9" s="433">
        <v>2</v>
      </c>
      <c r="B9" s="434" t="s">
        <v>1272</v>
      </c>
      <c r="C9" s="639">
        <f>[3]ยาเสพติดปี66!C8</f>
        <v>32000</v>
      </c>
      <c r="D9" s="435">
        <v>32000</v>
      </c>
      <c r="E9" s="436">
        <v>0</v>
      </c>
      <c r="F9" s="437">
        <f t="shared" ref="F9:F46" si="0">D9+E9</f>
        <v>32000</v>
      </c>
      <c r="G9" s="435">
        <f t="shared" ref="G9:G47" si="1">F9*100/C9</f>
        <v>100</v>
      </c>
      <c r="H9" s="438">
        <f t="shared" ref="H9:H46" si="2">C9-F9</f>
        <v>0</v>
      </c>
    </row>
    <row r="10" spans="1:9" hidden="1">
      <c r="A10" s="433">
        <v>3</v>
      </c>
      <c r="B10" s="434" t="s">
        <v>1067</v>
      </c>
      <c r="C10" s="639">
        <f>[3]ยาเสพติดปี66!C9</f>
        <v>17500</v>
      </c>
      <c r="D10" s="435">
        <v>17500</v>
      </c>
      <c r="E10" s="436">
        <f>[3]ยาเสพติดปี66!H9</f>
        <v>0</v>
      </c>
      <c r="F10" s="437">
        <f t="shared" si="0"/>
        <v>17500</v>
      </c>
      <c r="G10" s="435">
        <f t="shared" si="1"/>
        <v>100</v>
      </c>
      <c r="H10" s="438">
        <f t="shared" si="2"/>
        <v>0</v>
      </c>
    </row>
    <row r="11" spans="1:9" hidden="1">
      <c r="A11" s="433">
        <v>4</v>
      </c>
      <c r="B11" s="434" t="s">
        <v>1273</v>
      </c>
      <c r="C11" s="639">
        <f>[3]ยาเสพติดปี66!C10</f>
        <v>15500</v>
      </c>
      <c r="D11" s="435">
        <f>10000+5500</f>
        <v>15500</v>
      </c>
      <c r="E11" s="436">
        <f>[3]ยาเสพติดปี66!H10</f>
        <v>0</v>
      </c>
      <c r="F11" s="437">
        <f t="shared" si="0"/>
        <v>15500</v>
      </c>
      <c r="G11" s="435">
        <f t="shared" si="1"/>
        <v>100</v>
      </c>
      <c r="H11" s="438">
        <f t="shared" si="2"/>
        <v>0</v>
      </c>
      <c r="I11" s="439"/>
    </row>
    <row r="12" spans="1:9" hidden="1">
      <c r="A12" s="433">
        <v>5</v>
      </c>
      <c r="B12" s="434" t="s">
        <v>1069</v>
      </c>
      <c r="C12" s="639">
        <f>[3]ยาเสพติดปี66!C11</f>
        <v>17000</v>
      </c>
      <c r="D12" s="435">
        <v>17000</v>
      </c>
      <c r="E12" s="436">
        <v>0</v>
      </c>
      <c r="F12" s="437">
        <f t="shared" si="0"/>
        <v>17000</v>
      </c>
      <c r="G12" s="435">
        <f t="shared" si="1"/>
        <v>100</v>
      </c>
      <c r="H12" s="438">
        <f t="shared" si="2"/>
        <v>0</v>
      </c>
    </row>
    <row r="13" spans="1:9" hidden="1">
      <c r="A13" s="433">
        <v>6</v>
      </c>
      <c r="B13" s="434" t="s">
        <v>1070</v>
      </c>
      <c r="C13" s="639">
        <f>[3]ยาเสพติดปี66!C12</f>
        <v>30000</v>
      </c>
      <c r="D13" s="435">
        <v>29820</v>
      </c>
      <c r="E13" s="436">
        <v>0</v>
      </c>
      <c r="F13" s="437">
        <f t="shared" si="0"/>
        <v>29820</v>
      </c>
      <c r="G13" s="435">
        <f t="shared" si="1"/>
        <v>99.4</v>
      </c>
      <c r="H13" s="438">
        <f t="shared" si="2"/>
        <v>180</v>
      </c>
    </row>
    <row r="14" spans="1:9" hidden="1">
      <c r="A14" s="440">
        <v>7</v>
      </c>
      <c r="B14" s="434" t="s">
        <v>1071</v>
      </c>
      <c r="C14" s="639">
        <f>[3]ยาเสพติดปี66!C13</f>
        <v>35700</v>
      </c>
      <c r="D14" s="435">
        <v>35500</v>
      </c>
      <c r="E14" s="436">
        <f>[3]ยาเสพติดปี66!H13</f>
        <v>0</v>
      </c>
      <c r="F14" s="437">
        <f t="shared" si="0"/>
        <v>35500</v>
      </c>
      <c r="G14" s="435">
        <f t="shared" si="1"/>
        <v>99.439775910364148</v>
      </c>
      <c r="H14" s="438">
        <f t="shared" si="2"/>
        <v>200</v>
      </c>
    </row>
    <row r="15" spans="1:9" hidden="1">
      <c r="A15" s="433">
        <v>8</v>
      </c>
      <c r="B15" s="434" t="s">
        <v>1072</v>
      </c>
      <c r="C15" s="639">
        <f>[3]ยาเสพติดปี66!C14</f>
        <v>18000</v>
      </c>
      <c r="D15" s="435">
        <v>18000</v>
      </c>
      <c r="E15" s="436">
        <v>0</v>
      </c>
      <c r="F15" s="437">
        <f t="shared" si="0"/>
        <v>18000</v>
      </c>
      <c r="G15" s="435">
        <f t="shared" si="1"/>
        <v>100</v>
      </c>
      <c r="H15" s="438">
        <f t="shared" si="2"/>
        <v>0</v>
      </c>
    </row>
    <row r="16" spans="1:9" hidden="1">
      <c r="A16" s="440">
        <v>9</v>
      </c>
      <c r="B16" s="434" t="s">
        <v>1073</v>
      </c>
      <c r="C16" s="639">
        <f>[3]ยาเสพติดปี66!C15</f>
        <v>21600</v>
      </c>
      <c r="D16" s="435">
        <f>21000+600</f>
        <v>21600</v>
      </c>
      <c r="E16" s="436">
        <v>0</v>
      </c>
      <c r="F16" s="437">
        <f t="shared" si="0"/>
        <v>21600</v>
      </c>
      <c r="G16" s="435">
        <f t="shared" si="1"/>
        <v>100</v>
      </c>
      <c r="H16" s="438">
        <f t="shared" si="2"/>
        <v>0</v>
      </c>
    </row>
    <row r="17" spans="1:17" hidden="1">
      <c r="A17" s="440">
        <v>10</v>
      </c>
      <c r="B17" s="434" t="s">
        <v>1074</v>
      </c>
      <c r="C17" s="639">
        <f>[3]ยาเสพติดปี66!C16</f>
        <v>9000</v>
      </c>
      <c r="D17" s="435">
        <f>7200+1800</f>
        <v>9000</v>
      </c>
      <c r="E17" s="436">
        <v>0</v>
      </c>
      <c r="F17" s="437">
        <f t="shared" si="0"/>
        <v>9000</v>
      </c>
      <c r="G17" s="435">
        <f t="shared" si="1"/>
        <v>100</v>
      </c>
      <c r="H17" s="438">
        <f t="shared" si="2"/>
        <v>0</v>
      </c>
    </row>
    <row r="18" spans="1:17" hidden="1">
      <c r="A18" s="440">
        <v>11</v>
      </c>
      <c r="B18" s="434" t="s">
        <v>962</v>
      </c>
      <c r="C18" s="639">
        <f>[3]ยาเสพติดปี66!C17</f>
        <v>18500</v>
      </c>
      <c r="D18" s="435">
        <v>18500</v>
      </c>
      <c r="E18" s="436">
        <v>0</v>
      </c>
      <c r="F18" s="437">
        <f t="shared" si="0"/>
        <v>18500</v>
      </c>
      <c r="G18" s="435">
        <f t="shared" si="1"/>
        <v>100</v>
      </c>
      <c r="H18" s="438">
        <f t="shared" si="2"/>
        <v>0</v>
      </c>
    </row>
    <row r="19" spans="1:17" s="442" customFormat="1" hidden="1">
      <c r="A19" s="440">
        <v>12</v>
      </c>
      <c r="B19" s="441" t="s">
        <v>1076</v>
      </c>
      <c r="C19" s="640">
        <f>[3]ยาเสพติดปี66!C18</f>
        <v>31000</v>
      </c>
      <c r="D19" s="435">
        <v>30725</v>
      </c>
      <c r="E19" s="436">
        <v>0</v>
      </c>
      <c r="F19" s="437">
        <f t="shared" si="0"/>
        <v>30725</v>
      </c>
      <c r="G19" s="435">
        <f t="shared" si="1"/>
        <v>99.112903225806448</v>
      </c>
      <c r="H19" s="438">
        <f t="shared" si="2"/>
        <v>275</v>
      </c>
      <c r="Q19" s="773"/>
    </row>
    <row r="20" spans="1:17" s="442" customFormat="1" hidden="1">
      <c r="A20" s="433">
        <v>13</v>
      </c>
      <c r="B20" s="441" t="s">
        <v>1077</v>
      </c>
      <c r="C20" s="640">
        <f>[3]ยาเสพติดปี66!C19</f>
        <v>5500</v>
      </c>
      <c r="D20" s="435">
        <v>5500</v>
      </c>
      <c r="E20" s="436">
        <f>[3]ยาเสพติดปี66!H19</f>
        <v>0</v>
      </c>
      <c r="F20" s="437">
        <f t="shared" si="0"/>
        <v>5500</v>
      </c>
      <c r="G20" s="435">
        <f t="shared" si="1"/>
        <v>100</v>
      </c>
      <c r="H20" s="438">
        <f t="shared" si="2"/>
        <v>0</v>
      </c>
      <c r="Q20" s="773"/>
    </row>
    <row r="21" spans="1:17" s="442" customFormat="1" hidden="1">
      <c r="A21" s="433">
        <v>14</v>
      </c>
      <c r="B21" s="441" t="s">
        <v>1078</v>
      </c>
      <c r="C21" s="640">
        <f>[3]ยาเสพติดปี66!C20</f>
        <v>30500</v>
      </c>
      <c r="D21" s="435">
        <v>30500</v>
      </c>
      <c r="E21" s="436">
        <v>0</v>
      </c>
      <c r="F21" s="437">
        <f t="shared" si="0"/>
        <v>30500</v>
      </c>
      <c r="G21" s="435">
        <f t="shared" si="1"/>
        <v>100</v>
      </c>
      <c r="H21" s="438">
        <f t="shared" si="2"/>
        <v>0</v>
      </c>
      <c r="Q21" s="773"/>
    </row>
    <row r="22" spans="1:17" s="442" customFormat="1" hidden="1">
      <c r="A22" s="440">
        <v>15</v>
      </c>
      <c r="B22" s="441" t="s">
        <v>1079</v>
      </c>
      <c r="C22" s="640">
        <f>[3]ยาเสพติดปี66!C21</f>
        <v>20000</v>
      </c>
      <c r="D22" s="435">
        <f>2890+9000+8100</f>
        <v>19990</v>
      </c>
      <c r="E22" s="436">
        <v>0</v>
      </c>
      <c r="F22" s="437">
        <f t="shared" si="0"/>
        <v>19990</v>
      </c>
      <c r="G22" s="435">
        <f t="shared" si="1"/>
        <v>99.95</v>
      </c>
      <c r="H22" s="438">
        <f t="shared" si="2"/>
        <v>10</v>
      </c>
      <c r="Q22" s="773"/>
    </row>
    <row r="23" spans="1:17" s="442" customFormat="1" hidden="1">
      <c r="A23" s="457">
        <v>16</v>
      </c>
      <c r="B23" s="458" t="s">
        <v>1080</v>
      </c>
      <c r="C23" s="641">
        <f>[3]ยาเสพติดปี66!C22</f>
        <v>29700</v>
      </c>
      <c r="D23" s="459">
        <f>3780+5920+20000</f>
        <v>29700</v>
      </c>
      <c r="E23" s="460">
        <v>0</v>
      </c>
      <c r="F23" s="461">
        <f t="shared" si="0"/>
        <v>29700</v>
      </c>
      <c r="G23" s="459">
        <f t="shared" si="1"/>
        <v>100</v>
      </c>
      <c r="H23" s="462">
        <f t="shared" si="2"/>
        <v>0</v>
      </c>
      <c r="Q23" s="773"/>
    </row>
    <row r="24" spans="1:17" s="442" customFormat="1" hidden="1">
      <c r="A24" s="463"/>
      <c r="B24" s="464"/>
      <c r="C24" s="642">
        <f>SUM(C8:C23)</f>
        <v>350000</v>
      </c>
      <c r="D24" s="450">
        <f t="shared" ref="D24:F24" si="3">SUM(D8:D23)</f>
        <v>349335</v>
      </c>
      <c r="E24" s="450">
        <f t="shared" si="3"/>
        <v>0</v>
      </c>
      <c r="F24" s="450">
        <f t="shared" si="3"/>
        <v>349335</v>
      </c>
      <c r="G24" s="550">
        <f t="shared" si="1"/>
        <v>99.81</v>
      </c>
      <c r="H24" s="450">
        <f>SUM(H8:H23)</f>
        <v>665</v>
      </c>
      <c r="Q24" s="773"/>
    </row>
    <row r="25" spans="1:17" hidden="1">
      <c r="A25" s="1105" t="s">
        <v>1260</v>
      </c>
      <c r="B25" s="1105"/>
      <c r="C25" s="1105"/>
      <c r="D25" s="1105"/>
      <c r="E25" s="1105"/>
      <c r="F25" s="1105"/>
      <c r="G25" s="1105"/>
      <c r="H25" s="1105"/>
    </row>
    <row r="26" spans="1:17" hidden="1">
      <c r="A26" s="1105" t="s">
        <v>1261</v>
      </c>
      <c r="B26" s="1105"/>
      <c r="C26" s="1105"/>
      <c r="D26" s="1105"/>
      <c r="E26" s="1105"/>
      <c r="F26" s="1105"/>
      <c r="G26" s="1105"/>
      <c r="H26" s="1105"/>
    </row>
    <row r="27" spans="1:17" hidden="1">
      <c r="A27" s="1096"/>
      <c r="B27" s="1096"/>
      <c r="C27" s="1096"/>
      <c r="D27" s="1096"/>
      <c r="E27" s="1096"/>
      <c r="F27" s="1096"/>
      <c r="G27" s="1096"/>
      <c r="H27" s="1096"/>
    </row>
    <row r="28" spans="1:17" hidden="1">
      <c r="A28" s="1097" t="s">
        <v>128</v>
      </c>
      <c r="B28" s="1097" t="s">
        <v>1262</v>
      </c>
      <c r="C28" s="1099" t="s">
        <v>1263</v>
      </c>
      <c r="D28" s="1099"/>
      <c r="E28" s="1099"/>
      <c r="F28" s="1099"/>
      <c r="G28" s="1099"/>
      <c r="H28" s="1099"/>
    </row>
    <row r="29" spans="1:17" hidden="1">
      <c r="A29" s="1092"/>
      <c r="B29" s="1092"/>
      <c r="C29" s="1100" t="s">
        <v>1264</v>
      </c>
      <c r="D29" s="1102" t="s">
        <v>1265</v>
      </c>
      <c r="E29" s="1103"/>
      <c r="F29" s="1080" t="s">
        <v>1266</v>
      </c>
      <c r="G29" s="1080" t="s">
        <v>1267</v>
      </c>
      <c r="H29" s="1086" t="s">
        <v>1268</v>
      </c>
    </row>
    <row r="30" spans="1:17" hidden="1">
      <c r="A30" s="1098"/>
      <c r="B30" s="1098"/>
      <c r="C30" s="1101"/>
      <c r="D30" s="425" t="s">
        <v>1269</v>
      </c>
      <c r="E30" s="426" t="s">
        <v>1270</v>
      </c>
      <c r="F30" s="1080"/>
      <c r="G30" s="1080"/>
      <c r="H30" s="1086"/>
    </row>
    <row r="31" spans="1:17" s="442" customFormat="1" hidden="1">
      <c r="A31" s="440">
        <v>1</v>
      </c>
      <c r="B31" s="441" t="s">
        <v>1274</v>
      </c>
      <c r="C31" s="640">
        <f>[3]ยาเสพติดปี66!C24</f>
        <v>1000</v>
      </c>
      <c r="D31" s="435">
        <f>[3]ยาเสพติดปี66!D24</f>
        <v>1000</v>
      </c>
      <c r="E31" s="436">
        <f>[3]ยาเสพติดปี66!H24</f>
        <v>0</v>
      </c>
      <c r="F31" s="437">
        <f t="shared" si="0"/>
        <v>1000</v>
      </c>
      <c r="G31" s="435">
        <f t="shared" si="1"/>
        <v>100</v>
      </c>
      <c r="H31" s="438">
        <f t="shared" si="2"/>
        <v>0</v>
      </c>
      <c r="Q31" s="773"/>
    </row>
    <row r="32" spans="1:17" s="442" customFormat="1" hidden="1">
      <c r="A32" s="440">
        <v>2</v>
      </c>
      <c r="B32" s="441" t="s">
        <v>980</v>
      </c>
      <c r="C32" s="640">
        <f>[3]ยาเสพติดปี66!C25</f>
        <v>15000</v>
      </c>
      <c r="D32" s="435">
        <f>1350+13650</f>
        <v>15000</v>
      </c>
      <c r="E32" s="436">
        <f>[3]ยาเสพติดปี66!H25</f>
        <v>0</v>
      </c>
      <c r="F32" s="437">
        <f t="shared" si="0"/>
        <v>15000</v>
      </c>
      <c r="G32" s="435">
        <f t="shared" si="1"/>
        <v>100</v>
      </c>
      <c r="H32" s="438">
        <f t="shared" si="2"/>
        <v>0</v>
      </c>
      <c r="Q32" s="773"/>
    </row>
    <row r="33" spans="1:17" s="442" customFormat="1" hidden="1">
      <c r="A33" s="440">
        <v>3</v>
      </c>
      <c r="B33" s="441" t="s">
        <v>974</v>
      </c>
      <c r="C33" s="640">
        <v>0</v>
      </c>
      <c r="D33" s="435"/>
      <c r="E33" s="436"/>
      <c r="F33" s="437"/>
      <c r="G33" s="435"/>
      <c r="H33" s="438"/>
      <c r="Q33" s="773"/>
    </row>
    <row r="34" spans="1:17" s="442" customFormat="1" hidden="1">
      <c r="A34" s="440">
        <v>4</v>
      </c>
      <c r="B34" s="441" t="s">
        <v>984</v>
      </c>
      <c r="C34" s="640">
        <f>[3]ยาเสพติดปี66!C27</f>
        <v>1800</v>
      </c>
      <c r="D34" s="435">
        <v>1800</v>
      </c>
      <c r="E34" s="436">
        <v>0</v>
      </c>
      <c r="F34" s="437">
        <f t="shared" si="0"/>
        <v>1800</v>
      </c>
      <c r="G34" s="435">
        <f t="shared" si="1"/>
        <v>100</v>
      </c>
      <c r="H34" s="438">
        <f t="shared" si="2"/>
        <v>0</v>
      </c>
      <c r="Q34" s="773"/>
    </row>
    <row r="35" spans="1:17" s="442" customFormat="1" hidden="1">
      <c r="A35" s="440">
        <v>5</v>
      </c>
      <c r="B35" s="441" t="s">
        <v>982</v>
      </c>
      <c r="C35" s="640">
        <f>[3]ยาเสพติดปี66!C28</f>
        <v>5500</v>
      </c>
      <c r="D35" s="435">
        <v>5460</v>
      </c>
      <c r="E35" s="436">
        <f>[3]ยาเสพติดปี66!H28</f>
        <v>0</v>
      </c>
      <c r="F35" s="437">
        <f t="shared" si="0"/>
        <v>5460</v>
      </c>
      <c r="G35" s="435">
        <f t="shared" si="1"/>
        <v>99.272727272727266</v>
      </c>
      <c r="H35" s="438">
        <f t="shared" si="2"/>
        <v>40</v>
      </c>
      <c r="Q35" s="773"/>
    </row>
    <row r="36" spans="1:17" s="442" customFormat="1" hidden="1">
      <c r="A36" s="440">
        <v>6</v>
      </c>
      <c r="B36" s="441" t="s">
        <v>975</v>
      </c>
      <c r="C36" s="640">
        <f>[3]ยาเสพติดปี66!C29</f>
        <v>1000</v>
      </c>
      <c r="D36" s="435">
        <f>[3]ยาเสพติดปี66!D29</f>
        <v>0</v>
      </c>
      <c r="E36" s="436">
        <f>[3]ยาเสพติดปี66!H29</f>
        <v>0</v>
      </c>
      <c r="F36" s="437">
        <f t="shared" si="0"/>
        <v>0</v>
      </c>
      <c r="G36" s="435">
        <f t="shared" si="1"/>
        <v>0</v>
      </c>
      <c r="H36" s="438">
        <f t="shared" si="2"/>
        <v>1000</v>
      </c>
      <c r="I36" s="442" t="s">
        <v>1439</v>
      </c>
      <c r="Q36" s="773"/>
    </row>
    <row r="37" spans="1:17" s="442" customFormat="1" hidden="1">
      <c r="A37" s="440">
        <v>7</v>
      </c>
      <c r="B37" s="441" t="s">
        <v>976</v>
      </c>
      <c r="C37" s="640">
        <f>[3]ยาเสพติดปี66!C30</f>
        <v>1000</v>
      </c>
      <c r="D37" s="435">
        <v>1000</v>
      </c>
      <c r="E37" s="436">
        <v>0</v>
      </c>
      <c r="F37" s="437">
        <f t="shared" si="0"/>
        <v>1000</v>
      </c>
      <c r="G37" s="435">
        <f t="shared" si="1"/>
        <v>100</v>
      </c>
      <c r="H37" s="438">
        <f t="shared" si="2"/>
        <v>0</v>
      </c>
      <c r="Q37" s="773"/>
    </row>
    <row r="38" spans="1:17" s="442" customFormat="1" hidden="1">
      <c r="A38" s="440">
        <v>8</v>
      </c>
      <c r="B38" s="441" t="s">
        <v>963</v>
      </c>
      <c r="C38" s="640">
        <f>[3]ยาเสพติดปี66!C31</f>
        <v>3200</v>
      </c>
      <c r="D38" s="435">
        <v>3200</v>
      </c>
      <c r="E38" s="436">
        <f>[3]ยาเสพติดปี66!H31</f>
        <v>0</v>
      </c>
      <c r="F38" s="437">
        <f t="shared" si="0"/>
        <v>3200</v>
      </c>
      <c r="G38" s="435">
        <f t="shared" si="1"/>
        <v>100</v>
      </c>
      <c r="H38" s="438">
        <f t="shared" si="2"/>
        <v>0</v>
      </c>
      <c r="Q38" s="773"/>
    </row>
    <row r="39" spans="1:17" s="442" customFormat="1" hidden="1">
      <c r="A39" s="440">
        <v>9</v>
      </c>
      <c r="B39" s="441" t="s">
        <v>977</v>
      </c>
      <c r="C39" s="640">
        <f>[3]ยาเสพติดปี66!C32</f>
        <v>5000</v>
      </c>
      <c r="D39" s="435">
        <v>5000</v>
      </c>
      <c r="E39" s="436">
        <v>0</v>
      </c>
      <c r="F39" s="437">
        <f t="shared" si="0"/>
        <v>5000</v>
      </c>
      <c r="G39" s="435">
        <f t="shared" si="1"/>
        <v>100</v>
      </c>
      <c r="H39" s="438">
        <f t="shared" si="2"/>
        <v>0</v>
      </c>
      <c r="Q39" s="773"/>
    </row>
    <row r="40" spans="1:17" s="442" customFormat="1" hidden="1">
      <c r="A40" s="440">
        <v>10</v>
      </c>
      <c r="B40" s="441" t="s">
        <v>978</v>
      </c>
      <c r="C40" s="640">
        <v>0</v>
      </c>
      <c r="D40" s="435"/>
      <c r="E40" s="436"/>
      <c r="F40" s="437"/>
      <c r="G40" s="435"/>
      <c r="H40" s="438"/>
      <c r="Q40" s="773"/>
    </row>
    <row r="41" spans="1:17" s="442" customFormat="1" hidden="1">
      <c r="A41" s="440">
        <v>11</v>
      </c>
      <c r="B41" s="441" t="s">
        <v>1082</v>
      </c>
      <c r="C41" s="640">
        <f>[3]ยาเสพติดปี66!C34</f>
        <v>8700</v>
      </c>
      <c r="D41" s="435">
        <v>8700</v>
      </c>
      <c r="E41" s="436">
        <f>[3]ยาเสพติดปี66!H34</f>
        <v>0</v>
      </c>
      <c r="F41" s="437">
        <f t="shared" si="0"/>
        <v>8700</v>
      </c>
      <c r="G41" s="435">
        <f t="shared" si="1"/>
        <v>100</v>
      </c>
      <c r="H41" s="438">
        <f t="shared" si="2"/>
        <v>0</v>
      </c>
      <c r="Q41" s="773"/>
    </row>
    <row r="42" spans="1:17" s="442" customFormat="1" hidden="1">
      <c r="A42" s="440">
        <v>12</v>
      </c>
      <c r="B42" s="441" t="s">
        <v>979</v>
      </c>
      <c r="C42" s="640">
        <f>[3]ยาเสพติดปี66!C35</f>
        <v>2300</v>
      </c>
      <c r="D42" s="435">
        <f>[3]ยาเสพติดปี66!D35</f>
        <v>0</v>
      </c>
      <c r="E42" s="436">
        <f>[3]ยาเสพติดปี66!H35</f>
        <v>0</v>
      </c>
      <c r="F42" s="437">
        <f t="shared" si="0"/>
        <v>0</v>
      </c>
      <c r="G42" s="435">
        <f t="shared" si="1"/>
        <v>0</v>
      </c>
      <c r="H42" s="438">
        <f t="shared" si="2"/>
        <v>2300</v>
      </c>
      <c r="I42" s="442" t="s">
        <v>1439</v>
      </c>
      <c r="Q42" s="773"/>
    </row>
    <row r="43" spans="1:17" s="442" customFormat="1" hidden="1">
      <c r="A43" s="440">
        <v>13</v>
      </c>
      <c r="B43" s="441" t="s">
        <v>983</v>
      </c>
      <c r="C43" s="640">
        <f>[3]ยาเสพติดปี66!C36</f>
        <v>6500</v>
      </c>
      <c r="D43" s="435">
        <v>6500</v>
      </c>
      <c r="E43" s="436">
        <v>0</v>
      </c>
      <c r="F43" s="437">
        <f t="shared" si="0"/>
        <v>6500</v>
      </c>
      <c r="G43" s="435">
        <f t="shared" si="1"/>
        <v>100</v>
      </c>
      <c r="H43" s="438">
        <f t="shared" si="2"/>
        <v>0</v>
      </c>
      <c r="Q43" s="773"/>
    </row>
    <row r="44" spans="1:17" s="442" customFormat="1" hidden="1">
      <c r="A44" s="440">
        <v>14</v>
      </c>
      <c r="B44" s="441" t="s">
        <v>981</v>
      </c>
      <c r="C44" s="640">
        <v>0</v>
      </c>
      <c r="D44" s="435"/>
      <c r="E44" s="436"/>
      <c r="F44" s="437"/>
      <c r="G44" s="435"/>
      <c r="H44" s="438"/>
      <c r="Q44" s="773"/>
    </row>
    <row r="45" spans="1:17" hidden="1">
      <c r="A45" s="440">
        <v>15</v>
      </c>
      <c r="B45" s="434" t="s">
        <v>1083</v>
      </c>
      <c r="C45" s="639">
        <f>[3]ยาเสพติดปี66!C38</f>
        <v>5500</v>
      </c>
      <c r="D45" s="435">
        <v>5500</v>
      </c>
      <c r="E45" s="443">
        <v>0</v>
      </c>
      <c r="F45" s="437">
        <f t="shared" si="0"/>
        <v>5500</v>
      </c>
      <c r="G45" s="435">
        <f t="shared" si="1"/>
        <v>100</v>
      </c>
      <c r="H45" s="438">
        <f t="shared" si="2"/>
        <v>0</v>
      </c>
    </row>
    <row r="46" spans="1:17" hidden="1">
      <c r="A46" s="440">
        <v>16</v>
      </c>
      <c r="B46" s="444" t="s">
        <v>986</v>
      </c>
      <c r="C46" s="643">
        <f>[3]ยาเสพติดปี66!C39</f>
        <v>6800</v>
      </c>
      <c r="D46" s="445">
        <v>6800</v>
      </c>
      <c r="E46" s="446">
        <v>0</v>
      </c>
      <c r="F46" s="447">
        <f t="shared" si="0"/>
        <v>6800</v>
      </c>
      <c r="G46" s="558">
        <f t="shared" si="1"/>
        <v>100</v>
      </c>
      <c r="H46" s="448">
        <f t="shared" si="2"/>
        <v>0</v>
      </c>
    </row>
    <row r="47" spans="1:17" hidden="1">
      <c r="A47" s="449"/>
      <c r="B47" s="425" t="s">
        <v>66</v>
      </c>
      <c r="C47" s="642">
        <f>SUM(C31:C46)</f>
        <v>63300</v>
      </c>
      <c r="D47" s="450">
        <f t="shared" ref="D47:H47" si="4">SUM(D31:D46)</f>
        <v>59960</v>
      </c>
      <c r="E47" s="450">
        <f t="shared" si="4"/>
        <v>0</v>
      </c>
      <c r="F47" s="450">
        <f t="shared" si="4"/>
        <v>59960</v>
      </c>
      <c r="G47" s="550">
        <f t="shared" si="1"/>
        <v>94.723538704581358</v>
      </c>
      <c r="H47" s="450">
        <f t="shared" si="4"/>
        <v>3340</v>
      </c>
    </row>
    <row r="48" spans="1:17" hidden="1">
      <c r="A48" s="533"/>
      <c r="B48" s="534"/>
      <c r="C48" s="644"/>
      <c r="D48" s="535"/>
      <c r="E48" s="535"/>
      <c r="F48" s="535"/>
      <c r="G48" s="535"/>
      <c r="H48" s="535"/>
    </row>
    <row r="49" spans="1:17" s="758" customFormat="1" ht="65.25" customHeight="1">
      <c r="A49" s="1063" t="s">
        <v>1392</v>
      </c>
      <c r="B49" s="1063"/>
      <c r="C49" s="1063"/>
      <c r="D49" s="1063"/>
      <c r="E49" s="1063"/>
      <c r="F49" s="1063"/>
      <c r="G49" s="1063"/>
      <c r="H49" s="1063"/>
      <c r="I49" s="1063"/>
      <c r="Q49" s="774"/>
    </row>
    <row r="50" spans="1:17" ht="24" customHeight="1">
      <c r="A50" s="746"/>
      <c r="B50" s="746"/>
      <c r="C50" s="746"/>
      <c r="D50" s="746"/>
      <c r="E50" s="746"/>
      <c r="F50" s="746"/>
      <c r="G50" s="746"/>
      <c r="H50" s="746"/>
      <c r="I50" s="746"/>
    </row>
    <row r="51" spans="1:17" ht="23.25">
      <c r="A51" s="606" t="s">
        <v>128</v>
      </c>
      <c r="B51" s="606" t="s">
        <v>1262</v>
      </c>
      <c r="C51" s="645" t="s">
        <v>85</v>
      </c>
      <c r="D51" s="606" t="s">
        <v>1269</v>
      </c>
      <c r="E51" s="606" t="s">
        <v>1270</v>
      </c>
      <c r="F51" s="606" t="s">
        <v>63</v>
      </c>
      <c r="G51" s="606" t="s">
        <v>1267</v>
      </c>
      <c r="H51" s="606" t="s">
        <v>63</v>
      </c>
      <c r="I51" s="606" t="s">
        <v>1421</v>
      </c>
    </row>
    <row r="52" spans="1:17">
      <c r="A52" s="551">
        <v>1</v>
      </c>
      <c r="B52" s="464" t="s">
        <v>1271</v>
      </c>
      <c r="C52" s="642">
        <v>19250</v>
      </c>
      <c r="D52" s="450">
        <v>19250</v>
      </c>
      <c r="E52" s="450">
        <v>0</v>
      </c>
      <c r="F52" s="609">
        <f>C52-D52-E52</f>
        <v>0</v>
      </c>
      <c r="G52" s="607"/>
      <c r="H52" s="614">
        <f>C52-D52-E52</f>
        <v>0</v>
      </c>
      <c r="I52" s="608">
        <f>(D52+E52)*100/C52</f>
        <v>100</v>
      </c>
    </row>
    <row r="53" spans="1:17">
      <c r="A53" s="551">
        <v>2</v>
      </c>
      <c r="B53" s="611" t="s">
        <v>1272</v>
      </c>
      <c r="C53" s="646">
        <v>19250</v>
      </c>
      <c r="D53" s="609">
        <v>19200</v>
      </c>
      <c r="E53" s="609"/>
      <c r="F53" s="609">
        <f t="shared" ref="F53:F67" si="5">C53-D53-E53</f>
        <v>50</v>
      </c>
      <c r="G53" s="607"/>
      <c r="H53" s="614">
        <f t="shared" ref="H53:H84" si="6">C53-D53-E53</f>
        <v>50</v>
      </c>
      <c r="I53" s="608">
        <f>(D53+E53)*100/C53</f>
        <v>99.740259740259745</v>
      </c>
    </row>
    <row r="54" spans="1:17">
      <c r="A54" s="551">
        <v>3</v>
      </c>
      <c r="B54" s="611" t="s">
        <v>1067</v>
      </c>
      <c r="C54" s="646">
        <v>8050</v>
      </c>
      <c r="D54" s="609">
        <v>8050</v>
      </c>
      <c r="E54" s="609">
        <v>0</v>
      </c>
      <c r="F54" s="609">
        <f t="shared" si="5"/>
        <v>0</v>
      </c>
      <c r="G54" s="607"/>
      <c r="H54" s="614">
        <f t="shared" si="6"/>
        <v>0</v>
      </c>
      <c r="I54" s="608">
        <f t="shared" ref="I54:I85" si="7">(D54+E54)*100/C54</f>
        <v>100</v>
      </c>
    </row>
    <row r="55" spans="1:17">
      <c r="A55" s="551">
        <v>4</v>
      </c>
      <c r="B55" s="611" t="s">
        <v>1273</v>
      </c>
      <c r="C55" s="642">
        <v>11550</v>
      </c>
      <c r="D55" s="450">
        <f>1000+6120+4400</f>
        <v>11520</v>
      </c>
      <c r="E55" s="450">
        <v>0</v>
      </c>
      <c r="F55" s="609">
        <f t="shared" si="5"/>
        <v>30</v>
      </c>
      <c r="G55" s="607"/>
      <c r="H55" s="614">
        <f t="shared" si="6"/>
        <v>30</v>
      </c>
      <c r="I55" s="608">
        <f t="shared" si="7"/>
        <v>99.740259740259745</v>
      </c>
    </row>
    <row r="56" spans="1:17">
      <c r="A56" s="551">
        <v>5</v>
      </c>
      <c r="B56" s="464" t="s">
        <v>1069</v>
      </c>
      <c r="C56" s="642">
        <v>12700</v>
      </c>
      <c r="D56" s="450">
        <v>12583.2</v>
      </c>
      <c r="E56" s="733"/>
      <c r="F56" s="609">
        <f t="shared" si="5"/>
        <v>116.79999999999927</v>
      </c>
      <c r="G56" s="607"/>
      <c r="H56" s="614">
        <f t="shared" si="6"/>
        <v>116.79999999999927</v>
      </c>
      <c r="I56" s="608">
        <f t="shared" si="7"/>
        <v>99.08031496062992</v>
      </c>
    </row>
    <row r="57" spans="1:17">
      <c r="A57" s="551">
        <v>6</v>
      </c>
      <c r="B57" s="611" t="s">
        <v>1070</v>
      </c>
      <c r="C57" s="646">
        <v>16950</v>
      </c>
      <c r="D57" s="609">
        <f>16050+750</f>
        <v>16800</v>
      </c>
      <c r="E57" s="609">
        <v>0</v>
      </c>
      <c r="F57" s="609">
        <f t="shared" si="5"/>
        <v>150</v>
      </c>
      <c r="G57" s="607"/>
      <c r="H57" s="614">
        <f t="shared" si="6"/>
        <v>150</v>
      </c>
      <c r="I57" s="608">
        <f t="shared" si="7"/>
        <v>99.115044247787608</v>
      </c>
    </row>
    <row r="58" spans="1:17">
      <c r="A58" s="551">
        <v>7</v>
      </c>
      <c r="B58" s="611" t="s">
        <v>1071</v>
      </c>
      <c r="C58" s="646">
        <v>25550</v>
      </c>
      <c r="D58" s="609">
        <f>25350+200</f>
        <v>25550</v>
      </c>
      <c r="E58" s="609">
        <v>0</v>
      </c>
      <c r="F58" s="609">
        <f t="shared" si="5"/>
        <v>0</v>
      </c>
      <c r="G58" s="607"/>
      <c r="H58" s="614">
        <f t="shared" si="6"/>
        <v>0</v>
      </c>
      <c r="I58" s="608">
        <f t="shared" si="7"/>
        <v>100</v>
      </c>
    </row>
    <row r="59" spans="1:17">
      <c r="A59" s="551">
        <v>8</v>
      </c>
      <c r="B59" s="464" t="s">
        <v>1072</v>
      </c>
      <c r="C59" s="642">
        <v>21450</v>
      </c>
      <c r="D59" s="769">
        <f>2120+19250</f>
        <v>21370</v>
      </c>
      <c r="E59" s="733"/>
      <c r="F59" s="609">
        <f t="shared" si="5"/>
        <v>80</v>
      </c>
      <c r="G59" s="607"/>
      <c r="H59" s="614">
        <f t="shared" si="6"/>
        <v>80</v>
      </c>
      <c r="I59" s="608">
        <f>(D59+E59)*100/C59</f>
        <v>99.627039627039622</v>
      </c>
    </row>
    <row r="60" spans="1:17">
      <c r="A60" s="551">
        <v>9</v>
      </c>
      <c r="B60" s="611" t="s">
        <v>1073</v>
      </c>
      <c r="C60" s="646">
        <v>11750</v>
      </c>
      <c r="D60" s="609">
        <f>7190+4000</f>
        <v>11190</v>
      </c>
      <c r="E60" s="609"/>
      <c r="F60" s="609">
        <f t="shared" si="5"/>
        <v>560</v>
      </c>
      <c r="G60" s="607"/>
      <c r="H60" s="614">
        <f t="shared" si="6"/>
        <v>560</v>
      </c>
      <c r="I60" s="608">
        <f t="shared" si="7"/>
        <v>95.234042553191486</v>
      </c>
    </row>
    <row r="61" spans="1:17">
      <c r="A61" s="551">
        <v>10</v>
      </c>
      <c r="B61" s="611" t="s">
        <v>1074</v>
      </c>
      <c r="C61" s="646">
        <v>10500</v>
      </c>
      <c r="D61" s="609">
        <f>2000+1600+960+5884</f>
        <v>10444</v>
      </c>
      <c r="E61" s="738">
        <v>0</v>
      </c>
      <c r="F61" s="609">
        <f t="shared" si="5"/>
        <v>56</v>
      </c>
      <c r="G61" s="607"/>
      <c r="H61" s="614">
        <f t="shared" si="6"/>
        <v>56</v>
      </c>
      <c r="I61" s="608">
        <f t="shared" si="7"/>
        <v>99.466666666666669</v>
      </c>
    </row>
    <row r="62" spans="1:17">
      <c r="A62" s="551">
        <v>11</v>
      </c>
      <c r="B62" s="611" t="s">
        <v>962</v>
      </c>
      <c r="C62" s="646">
        <v>26850</v>
      </c>
      <c r="D62" s="609">
        <v>26850</v>
      </c>
      <c r="E62" s="609">
        <v>0</v>
      </c>
      <c r="F62" s="609">
        <f t="shared" si="5"/>
        <v>0</v>
      </c>
      <c r="G62" s="607"/>
      <c r="H62" s="614">
        <f t="shared" si="6"/>
        <v>0</v>
      </c>
      <c r="I62" s="608">
        <f t="shared" si="7"/>
        <v>100</v>
      </c>
    </row>
    <row r="63" spans="1:17">
      <c r="A63" s="551">
        <v>12</v>
      </c>
      <c r="B63" s="611" t="s">
        <v>1076</v>
      </c>
      <c r="C63" s="646">
        <v>17300</v>
      </c>
      <c r="D63" s="609">
        <v>17150</v>
      </c>
      <c r="E63" s="609">
        <v>0</v>
      </c>
      <c r="F63" s="609">
        <f t="shared" si="5"/>
        <v>150</v>
      </c>
      <c r="G63" s="607"/>
      <c r="H63" s="614">
        <f t="shared" si="6"/>
        <v>150</v>
      </c>
      <c r="I63" s="608">
        <f t="shared" si="7"/>
        <v>99.132947976878611</v>
      </c>
    </row>
    <row r="64" spans="1:17">
      <c r="A64" s="551">
        <v>13</v>
      </c>
      <c r="B64" s="611" t="s">
        <v>1077</v>
      </c>
      <c r="C64" s="646">
        <v>10750</v>
      </c>
      <c r="D64" s="609">
        <f>2800+7950</f>
        <v>10750</v>
      </c>
      <c r="E64" s="609"/>
      <c r="F64" s="609">
        <f t="shared" si="5"/>
        <v>0</v>
      </c>
      <c r="G64" s="607"/>
      <c r="H64" s="614">
        <f t="shared" si="6"/>
        <v>0</v>
      </c>
      <c r="I64" s="608">
        <f t="shared" si="7"/>
        <v>100</v>
      </c>
    </row>
    <row r="65" spans="1:17">
      <c r="A65" s="551">
        <v>14</v>
      </c>
      <c r="B65" s="611" t="s">
        <v>1078</v>
      </c>
      <c r="C65" s="646">
        <v>28600</v>
      </c>
      <c r="D65" s="609">
        <v>28450</v>
      </c>
      <c r="E65" s="609"/>
      <c r="F65" s="609">
        <f t="shared" si="5"/>
        <v>150</v>
      </c>
      <c r="G65" s="607"/>
      <c r="H65" s="614">
        <f t="shared" si="6"/>
        <v>150</v>
      </c>
      <c r="I65" s="608">
        <f t="shared" si="7"/>
        <v>99.47552447552448</v>
      </c>
    </row>
    <row r="66" spans="1:17">
      <c r="A66" s="551">
        <v>15</v>
      </c>
      <c r="B66" s="464" t="s">
        <v>1079</v>
      </c>
      <c r="C66" s="642">
        <v>14650</v>
      </c>
      <c r="D66" s="450">
        <v>14650</v>
      </c>
      <c r="E66" s="450"/>
      <c r="F66" s="609">
        <f t="shared" si="5"/>
        <v>0</v>
      </c>
      <c r="G66" s="607"/>
      <c r="H66" s="614">
        <f t="shared" si="6"/>
        <v>0</v>
      </c>
      <c r="I66" s="608">
        <f t="shared" si="7"/>
        <v>100</v>
      </c>
    </row>
    <row r="67" spans="1:17">
      <c r="A67" s="551">
        <v>16</v>
      </c>
      <c r="B67" s="611" t="s">
        <v>1080</v>
      </c>
      <c r="C67" s="646">
        <v>12550</v>
      </c>
      <c r="D67" s="609">
        <f>11000+1396.35</f>
        <v>12396.35</v>
      </c>
      <c r="E67" s="609"/>
      <c r="F67" s="609">
        <f t="shared" si="5"/>
        <v>153.64999999999964</v>
      </c>
      <c r="G67" s="607"/>
      <c r="H67" s="614">
        <f t="shared" si="6"/>
        <v>153.64999999999964</v>
      </c>
      <c r="I67" s="608">
        <f t="shared" si="7"/>
        <v>98.775697211155375</v>
      </c>
    </row>
    <row r="68" spans="1:17" s="85" customFormat="1" ht="21">
      <c r="A68" s="1051" t="s">
        <v>66</v>
      </c>
      <c r="B68" s="1051"/>
      <c r="C68" s="647">
        <f>SUM(C52:C67)</f>
        <v>267700</v>
      </c>
      <c r="D68" s="592">
        <f>SUM(D52:D67)</f>
        <v>266203.55</v>
      </c>
      <c r="E68" s="592">
        <f t="shared" ref="E68:H68" si="8">SUM(E52:E67)</f>
        <v>0</v>
      </c>
      <c r="F68" s="592">
        <f>SUM(F52:F67)</f>
        <v>1496.4499999999989</v>
      </c>
      <c r="G68" s="592">
        <f t="shared" si="8"/>
        <v>0</v>
      </c>
      <c r="H68" s="592">
        <f t="shared" si="8"/>
        <v>1496.4499999999989</v>
      </c>
      <c r="I68" s="592">
        <f t="shared" si="7"/>
        <v>99.440997385132604</v>
      </c>
      <c r="Q68" s="775"/>
    </row>
    <row r="69" spans="1:17">
      <c r="A69" s="612">
        <v>17</v>
      </c>
      <c r="B69" s="613" t="s">
        <v>1274</v>
      </c>
      <c r="C69" s="648">
        <v>8100</v>
      </c>
      <c r="D69" s="614">
        <v>8100</v>
      </c>
      <c r="E69" s="614">
        <v>0</v>
      </c>
      <c r="F69" s="615">
        <f>C69-D69-E69</f>
        <v>0</v>
      </c>
      <c r="G69" s="607"/>
      <c r="H69" s="614">
        <f t="shared" si="6"/>
        <v>0</v>
      </c>
      <c r="I69" s="608">
        <f t="shared" si="7"/>
        <v>100</v>
      </c>
    </row>
    <row r="70" spans="1:17">
      <c r="A70" s="612">
        <v>18</v>
      </c>
      <c r="B70" s="616" t="s">
        <v>980</v>
      </c>
      <c r="C70" s="648">
        <v>4550</v>
      </c>
      <c r="D70" s="614">
        <v>4550</v>
      </c>
      <c r="E70" s="614">
        <v>0</v>
      </c>
      <c r="F70" s="615">
        <f t="shared" ref="F70:F84" si="9">C70-D70-E70</f>
        <v>0</v>
      </c>
      <c r="G70" s="607"/>
      <c r="H70" s="614">
        <f t="shared" si="6"/>
        <v>0</v>
      </c>
      <c r="I70" s="608">
        <f t="shared" si="7"/>
        <v>100</v>
      </c>
    </row>
    <row r="71" spans="1:17">
      <c r="A71" s="612">
        <v>19</v>
      </c>
      <c r="B71" s="616" t="s">
        <v>974</v>
      </c>
      <c r="C71" s="648">
        <v>1150</v>
      </c>
      <c r="D71" s="614">
        <v>1150</v>
      </c>
      <c r="E71" s="614">
        <v>0</v>
      </c>
      <c r="F71" s="615">
        <f t="shared" si="9"/>
        <v>0</v>
      </c>
      <c r="G71" s="607"/>
      <c r="H71" s="614">
        <f t="shared" si="6"/>
        <v>0</v>
      </c>
      <c r="I71" s="608">
        <f t="shared" si="7"/>
        <v>100</v>
      </c>
    </row>
    <row r="72" spans="1:17">
      <c r="A72" s="612">
        <v>20</v>
      </c>
      <c r="B72" s="616" t="s">
        <v>984</v>
      </c>
      <c r="C72" s="648">
        <v>1700</v>
      </c>
      <c r="D72" s="614">
        <v>1700</v>
      </c>
      <c r="E72" s="614"/>
      <c r="F72" s="615">
        <f t="shared" si="9"/>
        <v>0</v>
      </c>
      <c r="G72" s="607"/>
      <c r="H72" s="614">
        <f t="shared" si="6"/>
        <v>0</v>
      </c>
      <c r="I72" s="608">
        <f t="shared" si="7"/>
        <v>100</v>
      </c>
    </row>
    <row r="73" spans="1:17">
      <c r="A73" s="612">
        <v>21</v>
      </c>
      <c r="B73" s="616" t="s">
        <v>982</v>
      </c>
      <c r="C73" s="648">
        <v>10200</v>
      </c>
      <c r="D73" s="614">
        <v>10100</v>
      </c>
      <c r="E73" s="614">
        <v>0</v>
      </c>
      <c r="F73" s="615">
        <f t="shared" si="9"/>
        <v>100</v>
      </c>
      <c r="G73" s="607"/>
      <c r="H73" s="614">
        <f t="shared" si="6"/>
        <v>100</v>
      </c>
      <c r="I73" s="608">
        <f t="shared" si="7"/>
        <v>99.019607843137251</v>
      </c>
    </row>
    <row r="74" spans="1:17">
      <c r="A74" s="612">
        <v>22</v>
      </c>
      <c r="B74" s="616" t="s">
        <v>975</v>
      </c>
      <c r="C74" s="648">
        <v>2900</v>
      </c>
      <c r="D74" s="614">
        <v>2900</v>
      </c>
      <c r="E74" s="614"/>
      <c r="F74" s="615">
        <f t="shared" si="9"/>
        <v>0</v>
      </c>
      <c r="G74" s="607"/>
      <c r="H74" s="614">
        <f t="shared" si="6"/>
        <v>0</v>
      </c>
      <c r="I74" s="608">
        <f t="shared" si="7"/>
        <v>100</v>
      </c>
    </row>
    <row r="75" spans="1:17">
      <c r="A75" s="612">
        <v>23</v>
      </c>
      <c r="B75" s="616" t="s">
        <v>976</v>
      </c>
      <c r="C75" s="648">
        <v>10650</v>
      </c>
      <c r="D75" s="614">
        <v>10650</v>
      </c>
      <c r="E75" s="614"/>
      <c r="F75" s="615">
        <f t="shared" si="9"/>
        <v>0</v>
      </c>
      <c r="G75" s="607"/>
      <c r="H75" s="614">
        <f t="shared" si="6"/>
        <v>0</v>
      </c>
      <c r="I75" s="608">
        <f t="shared" si="7"/>
        <v>100</v>
      </c>
    </row>
    <row r="76" spans="1:17">
      <c r="A76" s="612">
        <v>24</v>
      </c>
      <c r="B76" s="616" t="s">
        <v>963</v>
      </c>
      <c r="C76" s="648">
        <v>3700</v>
      </c>
      <c r="D76" s="614">
        <v>3700</v>
      </c>
      <c r="E76" s="610"/>
      <c r="F76" s="615">
        <f t="shared" si="9"/>
        <v>0</v>
      </c>
      <c r="G76" s="607"/>
      <c r="H76" s="614">
        <f t="shared" si="6"/>
        <v>0</v>
      </c>
      <c r="I76" s="608">
        <f t="shared" si="7"/>
        <v>100</v>
      </c>
    </row>
    <row r="77" spans="1:17">
      <c r="A77" s="612">
        <v>25</v>
      </c>
      <c r="B77" s="616" t="s">
        <v>977</v>
      </c>
      <c r="C77" s="648">
        <v>7400</v>
      </c>
      <c r="D77" s="614">
        <v>7400</v>
      </c>
      <c r="E77" s="610"/>
      <c r="F77" s="615">
        <f t="shared" si="9"/>
        <v>0</v>
      </c>
      <c r="G77" s="607"/>
      <c r="H77" s="614">
        <f t="shared" si="6"/>
        <v>0</v>
      </c>
      <c r="I77" s="608">
        <f t="shared" si="7"/>
        <v>100</v>
      </c>
    </row>
    <row r="78" spans="1:17">
      <c r="A78" s="612">
        <v>26</v>
      </c>
      <c r="B78" s="616" t="s">
        <v>978</v>
      </c>
      <c r="C78" s="648">
        <v>5700</v>
      </c>
      <c r="D78" s="614">
        <v>5700</v>
      </c>
      <c r="E78" s="610"/>
      <c r="F78" s="615">
        <f t="shared" si="9"/>
        <v>0</v>
      </c>
      <c r="G78" s="607"/>
      <c r="H78" s="614">
        <f t="shared" si="6"/>
        <v>0</v>
      </c>
      <c r="I78" s="608">
        <f t="shared" si="7"/>
        <v>100</v>
      </c>
    </row>
    <row r="79" spans="1:17" s="745" customFormat="1">
      <c r="A79" s="739">
        <v>27</v>
      </c>
      <c r="B79" s="740" t="s">
        <v>1082</v>
      </c>
      <c r="C79" s="741">
        <v>2000</v>
      </c>
      <c r="D79" s="610">
        <v>2000</v>
      </c>
      <c r="E79" s="610"/>
      <c r="F79" s="742">
        <f t="shared" si="9"/>
        <v>0</v>
      </c>
      <c r="G79" s="743"/>
      <c r="H79" s="610">
        <f t="shared" si="6"/>
        <v>0</v>
      </c>
      <c r="I79" s="744">
        <f t="shared" si="7"/>
        <v>100</v>
      </c>
      <c r="Q79" s="776"/>
    </row>
    <row r="80" spans="1:17">
      <c r="A80" s="612">
        <v>28</v>
      </c>
      <c r="B80" s="616" t="s">
        <v>979</v>
      </c>
      <c r="C80" s="648">
        <v>5350</v>
      </c>
      <c r="D80" s="614">
        <v>5344.65</v>
      </c>
      <c r="E80" s="610"/>
      <c r="F80" s="615">
        <f t="shared" si="9"/>
        <v>5.3500000000003638</v>
      </c>
      <c r="G80" s="607"/>
      <c r="H80" s="614">
        <f t="shared" si="6"/>
        <v>5.3500000000003638</v>
      </c>
      <c r="I80" s="608">
        <f t="shared" si="7"/>
        <v>99.9</v>
      </c>
    </row>
    <row r="81" spans="1:17">
      <c r="A81" s="612">
        <v>29</v>
      </c>
      <c r="B81" s="616" t="s">
        <v>983</v>
      </c>
      <c r="C81" s="648">
        <v>2450</v>
      </c>
      <c r="D81" s="614">
        <v>2450</v>
      </c>
      <c r="E81" s="610"/>
      <c r="F81" s="615">
        <f t="shared" si="9"/>
        <v>0</v>
      </c>
      <c r="G81" s="607"/>
      <c r="H81" s="614">
        <f t="shared" si="6"/>
        <v>0</v>
      </c>
      <c r="I81" s="608">
        <f t="shared" si="7"/>
        <v>100</v>
      </c>
    </row>
    <row r="82" spans="1:17">
      <c r="A82" s="612">
        <v>30</v>
      </c>
      <c r="B82" s="616" t="s">
        <v>981</v>
      </c>
      <c r="C82" s="648">
        <v>1400</v>
      </c>
      <c r="D82" s="614">
        <v>1400</v>
      </c>
      <c r="E82" s="610"/>
      <c r="F82" s="615">
        <f t="shared" si="9"/>
        <v>0</v>
      </c>
      <c r="G82" s="607"/>
      <c r="H82" s="614">
        <f t="shared" si="6"/>
        <v>0</v>
      </c>
      <c r="I82" s="608">
        <f t="shared" si="7"/>
        <v>100</v>
      </c>
    </row>
    <row r="83" spans="1:17">
      <c r="A83" s="612">
        <v>31</v>
      </c>
      <c r="B83" s="607" t="s">
        <v>1083</v>
      </c>
      <c r="C83" s="648">
        <v>3050</v>
      </c>
      <c r="D83" s="614">
        <v>3050</v>
      </c>
      <c r="E83" s="610">
        <v>0</v>
      </c>
      <c r="F83" s="615">
        <f t="shared" si="9"/>
        <v>0</v>
      </c>
      <c r="G83" s="607"/>
      <c r="H83" s="614">
        <f t="shared" si="6"/>
        <v>0</v>
      </c>
      <c r="I83" s="608">
        <f t="shared" si="7"/>
        <v>100</v>
      </c>
    </row>
    <row r="84" spans="1:17">
      <c r="A84" s="612">
        <v>32</v>
      </c>
      <c r="B84" s="607" t="s">
        <v>986</v>
      </c>
      <c r="C84" s="648">
        <v>2000</v>
      </c>
      <c r="D84" s="614">
        <v>2000</v>
      </c>
      <c r="E84" s="617"/>
      <c r="F84" s="615">
        <f t="shared" si="9"/>
        <v>0</v>
      </c>
      <c r="G84" s="607"/>
      <c r="H84" s="614">
        <f t="shared" si="6"/>
        <v>0</v>
      </c>
      <c r="I84" s="608">
        <f t="shared" si="7"/>
        <v>100</v>
      </c>
    </row>
    <row r="85" spans="1:17" ht="21">
      <c r="A85" s="589"/>
      <c r="B85" s="590"/>
      <c r="C85" s="649">
        <f t="shared" ref="C85:G85" si="10">SUM(C69:C84)</f>
        <v>72300</v>
      </c>
      <c r="D85" s="592">
        <f>SUM(D69:D84)</f>
        <v>72194.649999999994</v>
      </c>
      <c r="E85" s="592">
        <f t="shared" si="10"/>
        <v>0</v>
      </c>
      <c r="F85" s="592">
        <f>SUM(F69:F84)</f>
        <v>105.35000000000036</v>
      </c>
      <c r="G85" s="592">
        <f t="shared" si="10"/>
        <v>0</v>
      </c>
      <c r="H85" s="592">
        <f>SUM(H69:H84)</f>
        <v>105.35000000000036</v>
      </c>
      <c r="I85" s="592">
        <f t="shared" si="7"/>
        <v>99.854287690179788</v>
      </c>
    </row>
    <row r="86" spans="1:17" ht="23.25">
      <c r="A86" s="1052" t="s">
        <v>1311</v>
      </c>
      <c r="B86" s="1052"/>
      <c r="C86" s="1052"/>
      <c r="D86" s="1052"/>
      <c r="E86" s="1052"/>
      <c r="F86" s="1052"/>
      <c r="G86" s="1052"/>
      <c r="H86" s="1052"/>
    </row>
    <row r="87" spans="1:17" ht="21">
      <c r="A87" s="1053" t="s">
        <v>1312</v>
      </c>
      <c r="B87" s="1053"/>
      <c r="C87" s="1053"/>
      <c r="D87" s="1053"/>
      <c r="E87" s="1053"/>
      <c r="F87" s="1053"/>
      <c r="G87" s="1053"/>
      <c r="H87" s="1053"/>
    </row>
    <row r="88" spans="1:17" ht="21">
      <c r="A88" s="1053" t="s">
        <v>1313</v>
      </c>
      <c r="B88" s="1053"/>
      <c r="C88" s="1053"/>
      <c r="D88" s="1053"/>
      <c r="E88" s="1053"/>
      <c r="F88" s="1053"/>
      <c r="G88" s="1053"/>
      <c r="H88" s="1053"/>
    </row>
    <row r="89" spans="1:17" ht="21">
      <c r="A89" s="1053" t="s">
        <v>1314</v>
      </c>
      <c r="B89" s="1053"/>
      <c r="C89" s="1053"/>
      <c r="D89" s="1053"/>
      <c r="E89" s="1053"/>
      <c r="F89" s="1053"/>
      <c r="G89" s="1053"/>
      <c r="H89" s="1053"/>
    </row>
    <row r="90" spans="1:17" ht="23.25">
      <c r="A90" s="1055"/>
      <c r="B90" s="1056" t="s">
        <v>220</v>
      </c>
      <c r="C90" s="1057" t="s">
        <v>1264</v>
      </c>
      <c r="D90" s="1056" t="s">
        <v>1315</v>
      </c>
      <c r="E90" s="1056"/>
      <c r="F90" s="1058" t="s">
        <v>1266</v>
      </c>
      <c r="G90" s="1058" t="s">
        <v>1267</v>
      </c>
      <c r="H90" s="1065" t="s">
        <v>1268</v>
      </c>
      <c r="K90" s="1064" t="s">
        <v>1313</v>
      </c>
      <c r="L90" s="1064"/>
      <c r="M90" s="1064"/>
      <c r="N90" s="1064"/>
      <c r="O90" s="1064"/>
    </row>
    <row r="91" spans="1:17" ht="23.25">
      <c r="A91" s="1055"/>
      <c r="B91" s="1056"/>
      <c r="C91" s="1057"/>
      <c r="D91" s="489" t="s">
        <v>1269</v>
      </c>
      <c r="E91" s="489" t="s">
        <v>1316</v>
      </c>
      <c r="F91" s="1059"/>
      <c r="G91" s="1059"/>
      <c r="H91" s="1065"/>
      <c r="K91" s="1064" t="s">
        <v>1314</v>
      </c>
      <c r="L91" s="1064"/>
      <c r="M91" s="1064"/>
      <c r="N91" s="1064"/>
      <c r="O91" s="1064"/>
    </row>
    <row r="92" spans="1:17" ht="23.25">
      <c r="A92" s="490">
        <v>1</v>
      </c>
      <c r="B92" s="491" t="s">
        <v>14</v>
      </c>
      <c r="C92" s="650"/>
      <c r="D92" s="492"/>
      <c r="E92" s="492"/>
      <c r="F92" s="493"/>
      <c r="G92" s="494"/>
      <c r="H92" s="494"/>
      <c r="K92" s="600" t="s">
        <v>1395</v>
      </c>
      <c r="L92" s="600" t="s">
        <v>85</v>
      </c>
      <c r="M92" s="600" t="s">
        <v>972</v>
      </c>
      <c r="N92" s="600" t="s">
        <v>1410</v>
      </c>
      <c r="O92" s="600" t="s">
        <v>63</v>
      </c>
    </row>
    <row r="93" spans="1:17" s="635" customFormat="1" ht="23.25">
      <c r="A93" s="621"/>
      <c r="B93" s="622" t="s">
        <v>1317</v>
      </c>
      <c r="C93" s="651">
        <v>5000</v>
      </c>
      <c r="D93" s="623">
        <v>5000</v>
      </c>
      <c r="E93" s="623"/>
      <c r="F93" s="624">
        <f t="shared" ref="F93:F138" si="11">D93+E93</f>
        <v>5000</v>
      </c>
      <c r="G93" s="625"/>
      <c r="H93" s="625">
        <f t="shared" ref="H93:H99" si="12">C93-F93</f>
        <v>0</v>
      </c>
      <c r="K93" s="618" t="s">
        <v>1396</v>
      </c>
      <c r="L93" s="619">
        <f>SUM(C93:C98)</f>
        <v>30000</v>
      </c>
      <c r="M93" s="619">
        <f>SUM(D93:D98)</f>
        <v>30000</v>
      </c>
      <c r="N93" s="619">
        <v>0</v>
      </c>
      <c r="O93" s="619">
        <f>L93-M93-N93</f>
        <v>0</v>
      </c>
      <c r="P93" s="636">
        <f>M93*100/L93</f>
        <v>100</v>
      </c>
      <c r="Q93" s="777">
        <f>M93+N93</f>
        <v>30000</v>
      </c>
    </row>
    <row r="94" spans="1:17" s="635" customFormat="1" ht="23.25">
      <c r="A94" s="621"/>
      <c r="B94" s="622" t="s">
        <v>1318</v>
      </c>
      <c r="C94" s="651">
        <v>5000</v>
      </c>
      <c r="D94" s="623">
        <v>5000</v>
      </c>
      <c r="E94" s="623"/>
      <c r="F94" s="624">
        <f t="shared" si="11"/>
        <v>5000</v>
      </c>
      <c r="G94" s="625"/>
      <c r="H94" s="625">
        <f t="shared" si="12"/>
        <v>0</v>
      </c>
      <c r="K94" s="618" t="s">
        <v>1414</v>
      </c>
      <c r="L94" s="619">
        <f>SUM(C105:C108)</f>
        <v>20000</v>
      </c>
      <c r="M94" s="619">
        <f>SUM(D105:D108)+E105</f>
        <v>19950</v>
      </c>
      <c r="N94" s="619">
        <v>0</v>
      </c>
      <c r="O94" s="619">
        <f t="shared" ref="O94:O109" si="13">L94-M94-N94</f>
        <v>50</v>
      </c>
      <c r="P94" s="636">
        <f t="shared" ref="P94:P110" si="14">M94*100/L94</f>
        <v>99.75</v>
      </c>
      <c r="Q94" s="777">
        <f t="shared" ref="Q94:Q109" si="15">M94+N94</f>
        <v>19950</v>
      </c>
    </row>
    <row r="95" spans="1:17" s="635" customFormat="1" ht="23.25">
      <c r="A95" s="621"/>
      <c r="B95" s="622" t="s">
        <v>1319</v>
      </c>
      <c r="C95" s="651">
        <v>5000</v>
      </c>
      <c r="D95" s="623">
        <v>5000</v>
      </c>
      <c r="E95" s="623"/>
      <c r="F95" s="624">
        <f t="shared" si="11"/>
        <v>5000</v>
      </c>
      <c r="G95" s="625"/>
      <c r="H95" s="625">
        <f t="shared" si="12"/>
        <v>0</v>
      </c>
      <c r="K95" s="618" t="s">
        <v>1413</v>
      </c>
      <c r="L95" s="619">
        <f>SUM(C110:C113)</f>
        <v>20000</v>
      </c>
      <c r="M95" s="619">
        <f>SUM(D110:D113)</f>
        <v>20000</v>
      </c>
      <c r="N95" s="619">
        <v>0</v>
      </c>
      <c r="O95" s="619">
        <f t="shared" si="13"/>
        <v>0</v>
      </c>
      <c r="P95" s="636">
        <f t="shared" si="14"/>
        <v>100</v>
      </c>
      <c r="Q95" s="777">
        <f t="shared" si="15"/>
        <v>20000</v>
      </c>
    </row>
    <row r="96" spans="1:17" s="635" customFormat="1" ht="23.25">
      <c r="A96" s="621"/>
      <c r="B96" s="622" t="s">
        <v>1320</v>
      </c>
      <c r="C96" s="651">
        <v>5000</v>
      </c>
      <c r="D96" s="623">
        <v>5000</v>
      </c>
      <c r="E96" s="623"/>
      <c r="F96" s="624">
        <f t="shared" si="11"/>
        <v>5000</v>
      </c>
      <c r="G96" s="625"/>
      <c r="H96" s="625">
        <f t="shared" si="12"/>
        <v>0</v>
      </c>
      <c r="K96" s="618" t="s">
        <v>1412</v>
      </c>
      <c r="L96" s="619">
        <f>SUM(C115:C116)</f>
        <v>10000</v>
      </c>
      <c r="M96" s="619">
        <f>SUM(D115:D116)</f>
        <v>9780</v>
      </c>
      <c r="N96" s="619">
        <v>0</v>
      </c>
      <c r="O96" s="619">
        <f t="shared" si="13"/>
        <v>220</v>
      </c>
      <c r="P96" s="636">
        <f t="shared" ref="P96:P109" si="16">(M96+N96)*100/L96</f>
        <v>97.8</v>
      </c>
      <c r="Q96" s="777">
        <f t="shared" si="15"/>
        <v>9780</v>
      </c>
    </row>
    <row r="97" spans="1:17" s="635" customFormat="1" ht="23.25">
      <c r="A97" s="621"/>
      <c r="B97" s="622" t="s">
        <v>1321</v>
      </c>
      <c r="C97" s="651">
        <v>5000</v>
      </c>
      <c r="D97" s="623">
        <v>5000</v>
      </c>
      <c r="E97" s="623"/>
      <c r="F97" s="624">
        <f t="shared" si="11"/>
        <v>5000</v>
      </c>
      <c r="G97" s="625"/>
      <c r="H97" s="625">
        <f t="shared" si="12"/>
        <v>0</v>
      </c>
      <c r="K97" s="620" t="s">
        <v>1411</v>
      </c>
      <c r="L97" s="619">
        <f>SUM(D118:D119)</f>
        <v>10000</v>
      </c>
      <c r="M97" s="619">
        <f>SUM(D118:D119)</f>
        <v>10000</v>
      </c>
      <c r="N97" s="619">
        <v>0</v>
      </c>
      <c r="O97" s="619">
        <f t="shared" si="13"/>
        <v>0</v>
      </c>
      <c r="P97" s="636">
        <f t="shared" si="16"/>
        <v>100</v>
      </c>
      <c r="Q97" s="777">
        <f t="shared" si="15"/>
        <v>10000</v>
      </c>
    </row>
    <row r="98" spans="1:17" s="635" customFormat="1" ht="23.25">
      <c r="A98" s="621"/>
      <c r="B98" s="622" t="s">
        <v>1322</v>
      </c>
      <c r="C98" s="651">
        <v>5000</v>
      </c>
      <c r="D98" s="623">
        <v>5000</v>
      </c>
      <c r="E98" s="623"/>
      <c r="F98" s="624">
        <f t="shared" si="11"/>
        <v>5000</v>
      </c>
      <c r="G98" s="625"/>
      <c r="H98" s="625">
        <f t="shared" si="12"/>
        <v>0</v>
      </c>
      <c r="K98" s="620" t="s">
        <v>1407</v>
      </c>
      <c r="L98" s="619">
        <f>SUM(D121:D122)</f>
        <v>10000</v>
      </c>
      <c r="M98" s="619">
        <f>SUM(D121:E122)</f>
        <v>10000</v>
      </c>
      <c r="N98" s="619">
        <v>0</v>
      </c>
      <c r="O98" s="619">
        <f t="shared" si="13"/>
        <v>0</v>
      </c>
      <c r="P98" s="636">
        <f t="shared" si="16"/>
        <v>100</v>
      </c>
      <c r="Q98" s="777">
        <f t="shared" si="15"/>
        <v>10000</v>
      </c>
    </row>
    <row r="99" spans="1:17" s="635" customFormat="1" ht="23.25">
      <c r="A99" s="621"/>
      <c r="B99" s="622" t="s">
        <v>1323</v>
      </c>
      <c r="C99" s="651">
        <v>5000</v>
      </c>
      <c r="D99" s="623">
        <v>2550</v>
      </c>
      <c r="E99" s="623"/>
      <c r="F99" s="624">
        <f t="shared" si="11"/>
        <v>2550</v>
      </c>
      <c r="G99" s="625"/>
      <c r="H99" s="625">
        <f t="shared" si="12"/>
        <v>2450</v>
      </c>
      <c r="K99" s="620" t="s">
        <v>1408</v>
      </c>
      <c r="L99" s="619">
        <f>SUM(D124)</f>
        <v>5000</v>
      </c>
      <c r="M99" s="619">
        <f>SUM(D124)</f>
        <v>5000</v>
      </c>
      <c r="N99" s="619">
        <v>0</v>
      </c>
      <c r="O99" s="619">
        <f t="shared" si="13"/>
        <v>0</v>
      </c>
      <c r="P99" s="636">
        <f t="shared" si="16"/>
        <v>100</v>
      </c>
      <c r="Q99" s="777">
        <f t="shared" si="15"/>
        <v>5000</v>
      </c>
    </row>
    <row r="100" spans="1:17" s="635" customFormat="1" ht="23.25">
      <c r="A100" s="621"/>
      <c r="B100" s="622" t="s">
        <v>1324</v>
      </c>
      <c r="C100" s="651">
        <v>5000</v>
      </c>
      <c r="D100" s="1060">
        <v>12850</v>
      </c>
      <c r="E100" s="623"/>
      <c r="F100" s="624">
        <f t="shared" si="11"/>
        <v>12850</v>
      </c>
      <c r="G100" s="625"/>
      <c r="H100" s="1066">
        <f>+C100+C101+C102+C103-D100</f>
        <v>7150</v>
      </c>
      <c r="K100" s="620" t="s">
        <v>1401</v>
      </c>
      <c r="L100" s="619">
        <f>SUM(C126:C127)</f>
        <v>10000</v>
      </c>
      <c r="M100" s="619">
        <v>10000</v>
      </c>
      <c r="N100" s="619">
        <v>0</v>
      </c>
      <c r="O100" s="619">
        <f t="shared" si="13"/>
        <v>0</v>
      </c>
      <c r="P100" s="636">
        <f t="shared" si="16"/>
        <v>100</v>
      </c>
      <c r="Q100" s="777">
        <f t="shared" si="15"/>
        <v>10000</v>
      </c>
    </row>
    <row r="101" spans="1:17" s="635" customFormat="1" ht="23.25">
      <c r="A101" s="621"/>
      <c r="B101" s="622" t="s">
        <v>1325</v>
      </c>
      <c r="C101" s="651">
        <v>5000</v>
      </c>
      <c r="D101" s="1061"/>
      <c r="E101" s="623"/>
      <c r="F101" s="624">
        <f t="shared" si="11"/>
        <v>0</v>
      </c>
      <c r="G101" s="625"/>
      <c r="H101" s="1067"/>
      <c r="K101" s="620" t="s">
        <v>1415</v>
      </c>
      <c r="L101" s="619">
        <f>SUM(C131)</f>
        <v>5000</v>
      </c>
      <c r="M101" s="619">
        <f>SUM(D131)</f>
        <v>5000</v>
      </c>
      <c r="N101" s="619">
        <v>0</v>
      </c>
      <c r="O101" s="619">
        <f t="shared" si="13"/>
        <v>0</v>
      </c>
      <c r="P101" s="636">
        <f t="shared" si="16"/>
        <v>100</v>
      </c>
      <c r="Q101" s="777">
        <f t="shared" si="15"/>
        <v>5000</v>
      </c>
    </row>
    <row r="102" spans="1:17" s="635" customFormat="1" ht="23.25">
      <c r="A102" s="621"/>
      <c r="B102" s="622" t="s">
        <v>1326</v>
      </c>
      <c r="C102" s="651">
        <v>5000</v>
      </c>
      <c r="D102" s="1061"/>
      <c r="E102" s="623"/>
      <c r="F102" s="624">
        <f t="shared" si="11"/>
        <v>0</v>
      </c>
      <c r="G102" s="625"/>
      <c r="H102" s="1067"/>
      <c r="K102" s="620" t="s">
        <v>1405</v>
      </c>
      <c r="L102" s="619">
        <f>SUM(C133:C135)</f>
        <v>15000</v>
      </c>
      <c r="M102" s="619">
        <v>3000</v>
      </c>
      <c r="N102" s="619">
        <v>12000</v>
      </c>
      <c r="O102" s="619">
        <f t="shared" si="13"/>
        <v>0</v>
      </c>
      <c r="P102" s="636">
        <f t="shared" si="16"/>
        <v>100</v>
      </c>
      <c r="Q102" s="777">
        <f t="shared" si="15"/>
        <v>15000</v>
      </c>
    </row>
    <row r="103" spans="1:17" s="635" customFormat="1" ht="23.25">
      <c r="A103" s="621"/>
      <c r="B103" s="622" t="s">
        <v>1327</v>
      </c>
      <c r="C103" s="651">
        <v>5000</v>
      </c>
      <c r="D103" s="1062"/>
      <c r="E103" s="623"/>
      <c r="F103" s="624">
        <f t="shared" si="11"/>
        <v>0</v>
      </c>
      <c r="G103" s="625"/>
      <c r="H103" s="1068"/>
      <c r="K103" s="620" t="s">
        <v>1406</v>
      </c>
      <c r="L103" s="619">
        <f>SUM(C137)</f>
        <v>5000</v>
      </c>
      <c r="M103" s="619">
        <f>SUM(D137)</f>
        <v>5000</v>
      </c>
      <c r="N103" s="619">
        <v>0</v>
      </c>
      <c r="O103" s="619">
        <f t="shared" si="13"/>
        <v>0</v>
      </c>
      <c r="P103" s="636">
        <f t="shared" si="16"/>
        <v>100</v>
      </c>
      <c r="Q103" s="777">
        <f t="shared" si="15"/>
        <v>5000</v>
      </c>
    </row>
    <row r="104" spans="1:17" s="635" customFormat="1" ht="23.25">
      <c r="A104" s="621">
        <v>2</v>
      </c>
      <c r="B104" s="620" t="s">
        <v>221</v>
      </c>
      <c r="C104" s="651"/>
      <c r="D104" s="623"/>
      <c r="E104" s="626"/>
      <c r="F104" s="624">
        <f t="shared" si="11"/>
        <v>0</v>
      </c>
      <c r="G104" s="625"/>
      <c r="H104" s="625"/>
      <c r="K104" s="620" t="s">
        <v>1404</v>
      </c>
      <c r="L104" s="619">
        <f>SUM(C139:C142)</f>
        <v>20000</v>
      </c>
      <c r="M104" s="619">
        <v>20000</v>
      </c>
      <c r="N104" s="619">
        <v>0</v>
      </c>
      <c r="O104" s="619">
        <f t="shared" si="13"/>
        <v>0</v>
      </c>
      <c r="P104" s="636">
        <f t="shared" si="16"/>
        <v>100</v>
      </c>
      <c r="Q104" s="777">
        <f t="shared" si="15"/>
        <v>20000</v>
      </c>
    </row>
    <row r="105" spans="1:17" s="635" customFormat="1" ht="23.25">
      <c r="A105" s="621"/>
      <c r="B105" s="627" t="s">
        <v>1328</v>
      </c>
      <c r="C105" s="651">
        <v>5000</v>
      </c>
      <c r="D105" s="623">
        <v>4950</v>
      </c>
      <c r="E105" s="626"/>
      <c r="F105" s="624">
        <f t="shared" si="11"/>
        <v>4950</v>
      </c>
      <c r="G105" s="625"/>
      <c r="H105" s="625">
        <f>C105-F105</f>
        <v>50</v>
      </c>
      <c r="K105" s="620" t="s">
        <v>1403</v>
      </c>
      <c r="L105" s="619">
        <f>SUM(C145:C146)</f>
        <v>10000</v>
      </c>
      <c r="M105" s="619">
        <f>SUM(D145:D146)</f>
        <v>10000</v>
      </c>
      <c r="N105" s="619">
        <v>0</v>
      </c>
      <c r="O105" s="619">
        <f t="shared" si="13"/>
        <v>0</v>
      </c>
      <c r="P105" s="636">
        <f t="shared" si="16"/>
        <v>100</v>
      </c>
      <c r="Q105" s="777">
        <f t="shared" si="15"/>
        <v>10000</v>
      </c>
    </row>
    <row r="106" spans="1:17" s="635" customFormat="1" ht="23.25">
      <c r="A106" s="621"/>
      <c r="B106" s="627" t="s">
        <v>1329</v>
      </c>
      <c r="C106" s="651">
        <v>5000</v>
      </c>
      <c r="D106" s="623">
        <v>5000</v>
      </c>
      <c r="E106" s="626"/>
      <c r="F106" s="624">
        <f t="shared" si="11"/>
        <v>5000</v>
      </c>
      <c r="G106" s="625"/>
      <c r="H106" s="625">
        <f>C106-F106</f>
        <v>0</v>
      </c>
      <c r="K106" s="618" t="s">
        <v>1397</v>
      </c>
      <c r="L106" s="619">
        <f>SUM(C99:C103)</f>
        <v>25000</v>
      </c>
      <c r="M106" s="619">
        <f>+D99+D100</f>
        <v>15400</v>
      </c>
      <c r="N106" s="619">
        <f>SUM(E99:E103)</f>
        <v>0</v>
      </c>
      <c r="O106" s="619">
        <f>L106-M106-N106</f>
        <v>9600</v>
      </c>
      <c r="P106" s="636">
        <f t="shared" si="16"/>
        <v>61.6</v>
      </c>
      <c r="Q106" s="777">
        <f t="shared" si="15"/>
        <v>15400</v>
      </c>
    </row>
    <row r="107" spans="1:17" s="635" customFormat="1" ht="23.25">
      <c r="A107" s="621"/>
      <c r="B107" s="627" t="s">
        <v>1330</v>
      </c>
      <c r="C107" s="651">
        <v>5000</v>
      </c>
      <c r="D107" s="623">
        <v>5000</v>
      </c>
      <c r="E107" s="626"/>
      <c r="F107" s="624">
        <f t="shared" si="11"/>
        <v>5000</v>
      </c>
      <c r="G107" s="625"/>
      <c r="H107" s="625">
        <f>C107-F107</f>
        <v>0</v>
      </c>
      <c r="K107" s="620" t="s">
        <v>1402</v>
      </c>
      <c r="L107" s="619">
        <f>SUM(C128)</f>
        <v>5000</v>
      </c>
      <c r="M107" s="619">
        <f>SUM(D128)</f>
        <v>5000</v>
      </c>
      <c r="N107" s="619">
        <f>SUM(E128)</f>
        <v>0</v>
      </c>
      <c r="O107" s="619">
        <f>L107-M107-N107</f>
        <v>0</v>
      </c>
      <c r="P107" s="636">
        <f t="shared" si="16"/>
        <v>100</v>
      </c>
      <c r="Q107" s="777">
        <f t="shared" si="15"/>
        <v>5000</v>
      </c>
    </row>
    <row r="108" spans="1:17" s="635" customFormat="1" ht="23.25">
      <c r="A108" s="621"/>
      <c r="B108" s="627" t="s">
        <v>1331</v>
      </c>
      <c r="C108" s="651">
        <v>5000</v>
      </c>
      <c r="D108" s="623">
        <v>5000</v>
      </c>
      <c r="E108" s="626"/>
      <c r="F108" s="624">
        <f t="shared" si="11"/>
        <v>5000</v>
      </c>
      <c r="G108" s="625"/>
      <c r="H108" s="625">
        <f>C108-F108</f>
        <v>0</v>
      </c>
      <c r="K108" s="620" t="s">
        <v>1399</v>
      </c>
      <c r="L108" s="619">
        <f>SUM(C148)</f>
        <v>5000</v>
      </c>
      <c r="M108" s="619">
        <f>SUM(D148)</f>
        <v>4700</v>
      </c>
      <c r="N108" s="619">
        <v>0</v>
      </c>
      <c r="O108" s="619">
        <f t="shared" si="13"/>
        <v>300</v>
      </c>
      <c r="P108" s="636">
        <f t="shared" si="16"/>
        <v>94</v>
      </c>
      <c r="Q108" s="777">
        <f t="shared" si="15"/>
        <v>4700</v>
      </c>
    </row>
    <row r="109" spans="1:17" s="635" customFormat="1" ht="23.25">
      <c r="A109" s="621">
        <v>3</v>
      </c>
      <c r="B109" s="620" t="s">
        <v>226</v>
      </c>
      <c r="C109" s="651"/>
      <c r="D109" s="623"/>
      <c r="E109" s="626"/>
      <c r="F109" s="624">
        <f t="shared" si="11"/>
        <v>0</v>
      </c>
      <c r="G109" s="625"/>
      <c r="H109" s="625"/>
      <c r="K109" s="620" t="s">
        <v>1416</v>
      </c>
      <c r="L109" s="619">
        <f>SUM(C150)</f>
        <v>5000</v>
      </c>
      <c r="M109" s="619">
        <f>SUM(D150)</f>
        <v>5000</v>
      </c>
      <c r="N109" s="619">
        <v>0</v>
      </c>
      <c r="O109" s="619">
        <f t="shared" si="13"/>
        <v>0</v>
      </c>
      <c r="P109" s="636">
        <f t="shared" si="16"/>
        <v>100</v>
      </c>
      <c r="Q109" s="777">
        <f t="shared" si="15"/>
        <v>5000</v>
      </c>
    </row>
    <row r="110" spans="1:17" s="635" customFormat="1" ht="23.25">
      <c r="A110" s="621"/>
      <c r="B110" s="629" t="s">
        <v>1332</v>
      </c>
      <c r="C110" s="651">
        <v>5000</v>
      </c>
      <c r="D110" s="626">
        <v>5000</v>
      </c>
      <c r="E110" s="626"/>
      <c r="F110" s="624">
        <f t="shared" si="11"/>
        <v>5000</v>
      </c>
      <c r="G110" s="625"/>
      <c r="H110" s="625">
        <f>C110-F110</f>
        <v>0</v>
      </c>
      <c r="K110" s="628" t="s">
        <v>66</v>
      </c>
      <c r="L110" s="619">
        <f>SUM(L93:L109)</f>
        <v>210000</v>
      </c>
      <c r="M110" s="619">
        <f>SUM(M93:M109)</f>
        <v>187830</v>
      </c>
      <c r="N110" s="619">
        <f>SUM(N93:N109)</f>
        <v>12000</v>
      </c>
      <c r="O110" s="619">
        <f>SUM(O93:O109)</f>
        <v>10170</v>
      </c>
      <c r="P110" s="636">
        <f t="shared" si="14"/>
        <v>89.442857142857136</v>
      </c>
      <c r="Q110" s="777"/>
    </row>
    <row r="111" spans="1:17" s="635" customFormat="1" ht="23.25">
      <c r="A111" s="621"/>
      <c r="B111" s="629" t="s">
        <v>1333</v>
      </c>
      <c r="C111" s="651">
        <v>5000</v>
      </c>
      <c r="D111" s="626">
        <v>5000</v>
      </c>
      <c r="E111" s="626"/>
      <c r="F111" s="624">
        <f t="shared" si="11"/>
        <v>5000</v>
      </c>
      <c r="G111" s="625"/>
      <c r="H111" s="625">
        <f>C111-F111</f>
        <v>0</v>
      </c>
      <c r="Q111" s="777"/>
    </row>
    <row r="112" spans="1:17" s="635" customFormat="1" ht="23.25">
      <c r="A112" s="621"/>
      <c r="B112" s="629" t="s">
        <v>1334</v>
      </c>
      <c r="C112" s="651">
        <v>5000</v>
      </c>
      <c r="D112" s="626">
        <v>5000</v>
      </c>
      <c r="E112" s="626"/>
      <c r="F112" s="624">
        <f t="shared" si="11"/>
        <v>5000</v>
      </c>
      <c r="G112" s="625"/>
      <c r="H112" s="625">
        <f>C112-F112</f>
        <v>0</v>
      </c>
      <c r="L112" s="637">
        <v>210000</v>
      </c>
      <c r="M112" s="637">
        <v>187830</v>
      </c>
      <c r="N112" s="637">
        <v>12000</v>
      </c>
      <c r="O112" s="637">
        <f>L112-M112-N112</f>
        <v>10170</v>
      </c>
      <c r="P112" s="771">
        <f>(M112+N112)*100/L112</f>
        <v>95.157142857142858</v>
      </c>
      <c r="Q112" s="777"/>
    </row>
    <row r="113" spans="1:17" s="635" customFormat="1" ht="23.25">
      <c r="A113" s="621"/>
      <c r="B113" s="629" t="s">
        <v>1335</v>
      </c>
      <c r="C113" s="651">
        <v>5000</v>
      </c>
      <c r="D113" s="626">
        <v>5000</v>
      </c>
      <c r="E113" s="626"/>
      <c r="F113" s="624">
        <f t="shared" si="11"/>
        <v>5000</v>
      </c>
      <c r="G113" s="625"/>
      <c r="H113" s="625">
        <f>C113-F113</f>
        <v>0</v>
      </c>
      <c r="L113" s="637">
        <f>L110-L112</f>
        <v>0</v>
      </c>
      <c r="M113" s="637">
        <f>M110-M112</f>
        <v>0</v>
      </c>
      <c r="N113" s="637">
        <f>N110-N112</f>
        <v>0</v>
      </c>
      <c r="O113" s="637">
        <f>O110-O112</f>
        <v>0</v>
      </c>
      <c r="P113" s="771" t="e">
        <f>(M113+N113)*100/L113</f>
        <v>#DIV/0!</v>
      </c>
      <c r="Q113" s="777"/>
    </row>
    <row r="114" spans="1:17" s="635" customFormat="1" ht="23.25">
      <c r="A114" s="621">
        <v>4</v>
      </c>
      <c r="B114" s="620" t="s">
        <v>222</v>
      </c>
      <c r="C114" s="651"/>
      <c r="D114" s="623"/>
      <c r="E114" s="626"/>
      <c r="F114" s="624">
        <f t="shared" si="11"/>
        <v>0</v>
      </c>
      <c r="G114" s="625"/>
      <c r="H114" s="625"/>
      <c r="Q114" s="777"/>
    </row>
    <row r="115" spans="1:17" s="635" customFormat="1" ht="23.25">
      <c r="A115" s="621"/>
      <c r="B115" s="629" t="s">
        <v>1336</v>
      </c>
      <c r="C115" s="651">
        <v>5000</v>
      </c>
      <c r="D115" s="623">
        <v>4800</v>
      </c>
      <c r="E115" s="626"/>
      <c r="F115" s="624">
        <f t="shared" si="11"/>
        <v>4800</v>
      </c>
      <c r="G115" s="625"/>
      <c r="H115" s="625">
        <f>C115-F115</f>
        <v>200</v>
      </c>
      <c r="Q115" s="777"/>
    </row>
    <row r="116" spans="1:17" s="635" customFormat="1" ht="23.25">
      <c r="A116" s="621"/>
      <c r="B116" s="629" t="s">
        <v>1337</v>
      </c>
      <c r="C116" s="651">
        <v>5000</v>
      </c>
      <c r="D116" s="623">
        <v>4980</v>
      </c>
      <c r="E116" s="626"/>
      <c r="F116" s="624">
        <f t="shared" si="11"/>
        <v>4980</v>
      </c>
      <c r="G116" s="625"/>
      <c r="H116" s="625">
        <f>C116-F116</f>
        <v>20</v>
      </c>
      <c r="I116" s="635" t="s">
        <v>1417</v>
      </c>
      <c r="Q116" s="777"/>
    </row>
    <row r="117" spans="1:17" s="635" customFormat="1" ht="23.25">
      <c r="A117" s="621">
        <v>5</v>
      </c>
      <c r="B117" s="620" t="s">
        <v>223</v>
      </c>
      <c r="C117" s="651"/>
      <c r="D117" s="623"/>
      <c r="E117" s="626"/>
      <c r="F117" s="624">
        <f t="shared" si="11"/>
        <v>0</v>
      </c>
      <c r="G117" s="625"/>
      <c r="H117" s="625"/>
      <c r="Q117" s="777"/>
    </row>
    <row r="118" spans="1:17" s="635" customFormat="1" ht="23.25">
      <c r="A118" s="621"/>
      <c r="B118" s="629" t="s">
        <v>1338</v>
      </c>
      <c r="C118" s="651">
        <v>5000</v>
      </c>
      <c r="D118" s="623">
        <v>5000</v>
      </c>
      <c r="E118" s="626"/>
      <c r="F118" s="624">
        <f t="shared" si="11"/>
        <v>5000</v>
      </c>
      <c r="G118" s="625"/>
      <c r="H118" s="625">
        <f>C118-F118</f>
        <v>0</v>
      </c>
      <c r="Q118" s="777"/>
    </row>
    <row r="119" spans="1:17" s="635" customFormat="1" ht="23.25">
      <c r="A119" s="621"/>
      <c r="B119" s="629" t="s">
        <v>1339</v>
      </c>
      <c r="C119" s="651">
        <v>5000</v>
      </c>
      <c r="D119" s="623">
        <v>5000</v>
      </c>
      <c r="E119" s="626"/>
      <c r="F119" s="624">
        <f t="shared" si="11"/>
        <v>5000</v>
      </c>
      <c r="G119" s="625"/>
      <c r="H119" s="625">
        <f>C119-F119</f>
        <v>0</v>
      </c>
      <c r="Q119" s="777"/>
    </row>
    <row r="120" spans="1:17" s="635" customFormat="1" ht="23.25">
      <c r="A120" s="621">
        <v>6</v>
      </c>
      <c r="B120" s="620" t="s">
        <v>224</v>
      </c>
      <c r="C120" s="651"/>
      <c r="D120" s="623"/>
      <c r="E120" s="626"/>
      <c r="F120" s="624">
        <f t="shared" si="11"/>
        <v>0</v>
      </c>
      <c r="G120" s="625"/>
      <c r="H120" s="625"/>
      <c r="Q120" s="777"/>
    </row>
    <row r="121" spans="1:17" s="635" customFormat="1" ht="23.25">
      <c r="A121" s="621"/>
      <c r="B121" s="629" t="s">
        <v>1340</v>
      </c>
      <c r="C121" s="651">
        <v>5000</v>
      </c>
      <c r="D121" s="623">
        <v>5000</v>
      </c>
      <c r="E121" s="626"/>
      <c r="F121" s="624">
        <f t="shared" si="11"/>
        <v>5000</v>
      </c>
      <c r="G121" s="625"/>
      <c r="H121" s="625">
        <f>C121-F121</f>
        <v>0</v>
      </c>
      <c r="Q121" s="777"/>
    </row>
    <row r="122" spans="1:17" s="635" customFormat="1" ht="23.25">
      <c r="A122" s="621"/>
      <c r="B122" s="629" t="s">
        <v>1341</v>
      </c>
      <c r="C122" s="651">
        <v>5000</v>
      </c>
      <c r="D122" s="623">
        <v>5000</v>
      </c>
      <c r="E122" s="626"/>
      <c r="F122" s="624">
        <f t="shared" si="11"/>
        <v>5000</v>
      </c>
      <c r="G122" s="625"/>
      <c r="H122" s="625">
        <f>C122-F122</f>
        <v>0</v>
      </c>
      <c r="Q122" s="777"/>
    </row>
    <row r="123" spans="1:17" s="635" customFormat="1" ht="23.25">
      <c r="A123" s="621">
        <v>7</v>
      </c>
      <c r="B123" s="620" t="s">
        <v>225</v>
      </c>
      <c r="C123" s="651"/>
      <c r="D123" s="623"/>
      <c r="E123" s="626"/>
      <c r="F123" s="624">
        <f t="shared" si="11"/>
        <v>0</v>
      </c>
      <c r="G123" s="625"/>
      <c r="H123" s="625">
        <f>C123-F123</f>
        <v>0</v>
      </c>
      <c r="Q123" s="777"/>
    </row>
    <row r="124" spans="1:17" s="635" customFormat="1" ht="23.25">
      <c r="A124" s="621"/>
      <c r="B124" s="629" t="s">
        <v>1342</v>
      </c>
      <c r="C124" s="651">
        <v>5000</v>
      </c>
      <c r="D124" s="623">
        <v>5000</v>
      </c>
      <c r="E124" s="626"/>
      <c r="F124" s="624">
        <f t="shared" si="11"/>
        <v>5000</v>
      </c>
      <c r="G124" s="625"/>
      <c r="H124" s="625">
        <f>C124-F124</f>
        <v>0</v>
      </c>
      <c r="Q124" s="777"/>
    </row>
    <row r="125" spans="1:17" s="635" customFormat="1" ht="23.25">
      <c r="A125" s="621">
        <v>8</v>
      </c>
      <c r="B125" s="620" t="s">
        <v>231</v>
      </c>
      <c r="C125" s="651"/>
      <c r="D125" s="623"/>
      <c r="E125" s="626"/>
      <c r="F125" s="624">
        <f t="shared" si="11"/>
        <v>0</v>
      </c>
      <c r="G125" s="625"/>
      <c r="H125" s="625"/>
      <c r="Q125" s="777"/>
    </row>
    <row r="126" spans="1:17" s="635" customFormat="1" ht="23.25">
      <c r="A126" s="621"/>
      <c r="B126" s="629" t="s">
        <v>1343</v>
      </c>
      <c r="C126" s="651">
        <v>5000</v>
      </c>
      <c r="D126" s="623">
        <v>5000</v>
      </c>
      <c r="E126" s="626"/>
      <c r="F126" s="624">
        <f t="shared" si="11"/>
        <v>5000</v>
      </c>
      <c r="G126" s="625"/>
      <c r="H126" s="625">
        <f>C126-F126</f>
        <v>0</v>
      </c>
      <c r="Q126" s="777"/>
    </row>
    <row r="127" spans="1:17" s="635" customFormat="1" ht="23.25">
      <c r="A127" s="621"/>
      <c r="B127" s="629" t="s">
        <v>1344</v>
      </c>
      <c r="C127" s="651">
        <v>5000</v>
      </c>
      <c r="D127" s="623">
        <f>3000+2000</f>
        <v>5000</v>
      </c>
      <c r="E127" s="626">
        <v>0</v>
      </c>
      <c r="F127" s="624">
        <f t="shared" si="11"/>
        <v>5000</v>
      </c>
      <c r="G127" s="625"/>
      <c r="H127" s="625">
        <f>C127-F127</f>
        <v>0</v>
      </c>
      <c r="Q127" s="777"/>
    </row>
    <row r="128" spans="1:17" s="635" customFormat="1" ht="23.25">
      <c r="A128" s="621"/>
      <c r="B128" s="629" t="s">
        <v>1076</v>
      </c>
      <c r="C128" s="651">
        <v>5000</v>
      </c>
      <c r="D128" s="623">
        <v>5000</v>
      </c>
      <c r="E128" s="626">
        <v>0</v>
      </c>
      <c r="F128" s="624">
        <f t="shared" si="11"/>
        <v>5000</v>
      </c>
      <c r="G128" s="625"/>
      <c r="H128" s="625">
        <f>C128-F128</f>
        <v>0</v>
      </c>
      <c r="Q128" s="777"/>
    </row>
    <row r="129" spans="1:17" s="635" customFormat="1" ht="23.25" hidden="1">
      <c r="A129" s="621"/>
      <c r="B129" s="629"/>
      <c r="C129" s="651"/>
      <c r="D129" s="623"/>
      <c r="E129" s="626"/>
      <c r="F129" s="624">
        <f t="shared" si="11"/>
        <v>0</v>
      </c>
      <c r="G129" s="625"/>
      <c r="H129" s="625"/>
      <c r="Q129" s="777"/>
    </row>
    <row r="130" spans="1:17" s="635" customFormat="1" ht="23.25">
      <c r="A130" s="621">
        <v>9</v>
      </c>
      <c r="B130" s="620" t="s">
        <v>232</v>
      </c>
      <c r="C130" s="651"/>
      <c r="D130" s="623"/>
      <c r="E130" s="626"/>
      <c r="F130" s="624">
        <f t="shared" si="11"/>
        <v>0</v>
      </c>
      <c r="G130" s="625"/>
      <c r="H130" s="625"/>
      <c r="Q130" s="777"/>
    </row>
    <row r="131" spans="1:17" s="635" customFormat="1" ht="23.25">
      <c r="A131" s="621"/>
      <c r="B131" s="629" t="s">
        <v>1077</v>
      </c>
      <c r="C131" s="651">
        <v>5000</v>
      </c>
      <c r="D131" s="623">
        <v>5000</v>
      </c>
      <c r="E131" s="626"/>
      <c r="F131" s="624">
        <f t="shared" si="11"/>
        <v>5000</v>
      </c>
      <c r="G131" s="625"/>
      <c r="H131" s="625">
        <f>C131-F131</f>
        <v>0</v>
      </c>
      <c r="Q131" s="777"/>
    </row>
    <row r="132" spans="1:17" s="635" customFormat="1" ht="23.25">
      <c r="A132" s="621">
        <v>10</v>
      </c>
      <c r="B132" s="620" t="s">
        <v>233</v>
      </c>
      <c r="C132" s="651"/>
      <c r="D132" s="623"/>
      <c r="E132" s="626"/>
      <c r="F132" s="624">
        <f t="shared" si="11"/>
        <v>0</v>
      </c>
      <c r="G132" s="625"/>
      <c r="H132" s="625"/>
      <c r="Q132" s="777"/>
    </row>
    <row r="133" spans="1:17" s="635" customFormat="1" ht="23.25">
      <c r="A133" s="621"/>
      <c r="B133" s="629" t="s">
        <v>1345</v>
      </c>
      <c r="C133" s="651">
        <v>5000</v>
      </c>
      <c r="D133" s="623">
        <v>3000</v>
      </c>
      <c r="E133" s="626">
        <v>2000</v>
      </c>
      <c r="F133" s="624">
        <f t="shared" si="11"/>
        <v>5000</v>
      </c>
      <c r="G133" s="625"/>
      <c r="H133" s="625">
        <f>C133-F133</f>
        <v>0</v>
      </c>
      <c r="Q133" s="777"/>
    </row>
    <row r="134" spans="1:17" s="635" customFormat="1" ht="23.25">
      <c r="A134" s="621"/>
      <c r="B134" s="629" t="s">
        <v>1346</v>
      </c>
      <c r="C134" s="651">
        <v>5000</v>
      </c>
      <c r="D134" s="623">
        <v>4000</v>
      </c>
      <c r="E134" s="626">
        <v>1000</v>
      </c>
      <c r="F134" s="624">
        <f t="shared" si="11"/>
        <v>5000</v>
      </c>
      <c r="G134" s="625"/>
      <c r="H134" s="625">
        <f>C134-F134</f>
        <v>0</v>
      </c>
      <c r="Q134" s="777"/>
    </row>
    <row r="135" spans="1:17" s="635" customFormat="1" ht="23.25">
      <c r="A135" s="621"/>
      <c r="B135" s="629" t="s">
        <v>1347</v>
      </c>
      <c r="C135" s="651">
        <v>5000</v>
      </c>
      <c r="D135" s="623">
        <v>0</v>
      </c>
      <c r="E135" s="626">
        <v>5000</v>
      </c>
      <c r="F135" s="624">
        <f t="shared" si="11"/>
        <v>5000</v>
      </c>
      <c r="G135" s="625"/>
      <c r="H135" s="625">
        <f>C135-F135</f>
        <v>0</v>
      </c>
      <c r="Q135" s="777"/>
    </row>
    <row r="136" spans="1:17" s="635" customFormat="1" ht="23.25">
      <c r="A136" s="621">
        <v>11</v>
      </c>
      <c r="B136" s="620" t="s">
        <v>234</v>
      </c>
      <c r="C136" s="651"/>
      <c r="D136" s="623"/>
      <c r="E136" s="626"/>
      <c r="F136" s="624">
        <f t="shared" si="11"/>
        <v>0</v>
      </c>
      <c r="G136" s="625"/>
      <c r="H136" s="625"/>
      <c r="Q136" s="777"/>
    </row>
    <row r="137" spans="1:17" s="635" customFormat="1" ht="23.25">
      <c r="A137" s="621"/>
      <c r="B137" s="629" t="s">
        <v>1348</v>
      </c>
      <c r="C137" s="651">
        <v>5000</v>
      </c>
      <c r="D137" s="623">
        <v>5000</v>
      </c>
      <c r="E137" s="626"/>
      <c r="F137" s="624">
        <f t="shared" si="11"/>
        <v>5000</v>
      </c>
      <c r="G137" s="625"/>
      <c r="H137" s="625">
        <f>C137-F137</f>
        <v>0</v>
      </c>
      <c r="Q137" s="777"/>
    </row>
    <row r="138" spans="1:17" s="635" customFormat="1" ht="23.25">
      <c r="A138" s="621">
        <v>13</v>
      </c>
      <c r="B138" s="620" t="s">
        <v>227</v>
      </c>
      <c r="C138" s="651"/>
      <c r="D138" s="623"/>
      <c r="E138" s="626"/>
      <c r="F138" s="624">
        <f t="shared" si="11"/>
        <v>0</v>
      </c>
      <c r="G138" s="625"/>
      <c r="H138" s="625"/>
      <c r="Q138" s="777"/>
    </row>
    <row r="139" spans="1:17" s="635" customFormat="1" ht="23.25">
      <c r="A139" s="621"/>
      <c r="B139" s="629" t="s">
        <v>1349</v>
      </c>
      <c r="C139" s="651">
        <v>5000</v>
      </c>
      <c r="D139" s="1060">
        <f>12800+7200</f>
        <v>20000</v>
      </c>
      <c r="E139" s="1073"/>
      <c r="F139" s="1076" t="e">
        <f>#REF!+E139</f>
        <v>#REF!</v>
      </c>
      <c r="G139" s="625"/>
      <c r="H139" s="1066">
        <v>0</v>
      </c>
      <c r="Q139" s="777"/>
    </row>
    <row r="140" spans="1:17" s="635" customFormat="1" ht="23.25">
      <c r="A140" s="621"/>
      <c r="B140" s="629" t="s">
        <v>1350</v>
      </c>
      <c r="C140" s="651">
        <v>5000</v>
      </c>
      <c r="D140" s="1061"/>
      <c r="E140" s="1074"/>
      <c r="F140" s="1077"/>
      <c r="G140" s="625"/>
      <c r="H140" s="1067"/>
      <c r="Q140" s="777"/>
    </row>
    <row r="141" spans="1:17" s="635" customFormat="1" ht="23.25">
      <c r="A141" s="621"/>
      <c r="B141" s="629" t="s">
        <v>1351</v>
      </c>
      <c r="C141" s="651">
        <v>5000</v>
      </c>
      <c r="D141" s="1061"/>
      <c r="E141" s="1074"/>
      <c r="F141" s="1077"/>
      <c r="G141" s="625"/>
      <c r="H141" s="1067"/>
      <c r="Q141" s="777"/>
    </row>
    <row r="142" spans="1:17" s="635" customFormat="1" ht="23.25">
      <c r="A142" s="621"/>
      <c r="B142" s="629" t="s">
        <v>1072</v>
      </c>
      <c r="C142" s="651">
        <v>5000</v>
      </c>
      <c r="D142" s="1062"/>
      <c r="E142" s="1075"/>
      <c r="F142" s="1078"/>
      <c r="G142" s="625"/>
      <c r="H142" s="1068"/>
      <c r="Q142" s="777"/>
    </row>
    <row r="143" spans="1:17" s="635" customFormat="1" ht="23.25" hidden="1">
      <c r="A143" s="621"/>
      <c r="B143" s="629"/>
      <c r="C143" s="651"/>
      <c r="D143" s="623"/>
      <c r="E143" s="626"/>
      <c r="F143" s="624">
        <f t="shared" ref="F143:F150" si="17">D143+E143</f>
        <v>0</v>
      </c>
      <c r="G143" s="625"/>
      <c r="H143" s="625"/>
      <c r="Q143" s="777"/>
    </row>
    <row r="144" spans="1:17" s="635" customFormat="1" ht="23.25">
      <c r="A144" s="621">
        <v>14</v>
      </c>
      <c r="B144" s="620" t="s">
        <v>228</v>
      </c>
      <c r="C144" s="651"/>
      <c r="D144" s="623"/>
      <c r="E144" s="626"/>
      <c r="F144" s="624">
        <f t="shared" si="17"/>
        <v>0</v>
      </c>
      <c r="G144" s="625"/>
      <c r="H144" s="625"/>
      <c r="Q144" s="777"/>
    </row>
    <row r="145" spans="1:17" s="635" customFormat="1" ht="23.25">
      <c r="A145" s="621"/>
      <c r="B145" s="629" t="s">
        <v>1352</v>
      </c>
      <c r="C145" s="651">
        <v>5000</v>
      </c>
      <c r="D145" s="623">
        <f>2000+3000</f>
        <v>5000</v>
      </c>
      <c r="E145" s="626"/>
      <c r="F145" s="624">
        <f t="shared" si="17"/>
        <v>5000</v>
      </c>
      <c r="G145" s="625"/>
      <c r="H145" s="625">
        <f>C145-F145</f>
        <v>0</v>
      </c>
      <c r="Q145" s="777"/>
    </row>
    <row r="146" spans="1:17" s="635" customFormat="1" ht="23.25">
      <c r="A146" s="621"/>
      <c r="B146" s="629" t="s">
        <v>1353</v>
      </c>
      <c r="C146" s="651">
        <v>5000</v>
      </c>
      <c r="D146" s="623">
        <v>5000</v>
      </c>
      <c r="E146" s="626"/>
      <c r="F146" s="624">
        <f t="shared" si="17"/>
        <v>5000</v>
      </c>
      <c r="G146" s="625"/>
      <c r="H146" s="625">
        <f>C146-F146</f>
        <v>0</v>
      </c>
      <c r="Q146" s="777"/>
    </row>
    <row r="147" spans="1:17" s="635" customFormat="1" ht="23.25">
      <c r="A147" s="630">
        <v>15</v>
      </c>
      <c r="B147" s="631" t="s">
        <v>229</v>
      </c>
      <c r="C147" s="651"/>
      <c r="D147" s="623"/>
      <c r="E147" s="632"/>
      <c r="F147" s="624">
        <f t="shared" si="17"/>
        <v>0</v>
      </c>
      <c r="G147" s="625"/>
      <c r="H147" s="625"/>
      <c r="Q147" s="777"/>
    </row>
    <row r="148" spans="1:17" s="635" customFormat="1" ht="23.25">
      <c r="A148" s="630"/>
      <c r="B148" s="633" t="s">
        <v>1074</v>
      </c>
      <c r="C148" s="651">
        <v>5000</v>
      </c>
      <c r="D148" s="623">
        <v>4700</v>
      </c>
      <c r="E148" s="632"/>
      <c r="F148" s="624">
        <f t="shared" si="17"/>
        <v>4700</v>
      </c>
      <c r="G148" s="625"/>
      <c r="H148" s="625">
        <f>C148-F148</f>
        <v>300</v>
      </c>
      <c r="Q148" s="777"/>
    </row>
    <row r="149" spans="1:17" s="635" customFormat="1" ht="23.25">
      <c r="A149" s="630">
        <v>16</v>
      </c>
      <c r="B149" s="631" t="s">
        <v>230</v>
      </c>
      <c r="C149" s="651"/>
      <c r="D149" s="623"/>
      <c r="E149" s="632"/>
      <c r="F149" s="624">
        <f t="shared" si="17"/>
        <v>0</v>
      </c>
      <c r="G149" s="634"/>
      <c r="H149" s="625"/>
      <c r="Q149" s="777"/>
    </row>
    <row r="150" spans="1:17" s="635" customFormat="1" ht="23.25">
      <c r="A150" s="630"/>
      <c r="B150" s="633" t="s">
        <v>962</v>
      </c>
      <c r="C150" s="651">
        <v>5000</v>
      </c>
      <c r="D150" s="623">
        <f>4500+500</f>
        <v>5000</v>
      </c>
      <c r="E150" s="632"/>
      <c r="F150" s="624">
        <f t="shared" si="17"/>
        <v>5000</v>
      </c>
      <c r="G150" s="634"/>
      <c r="H150" s="625">
        <f>C150-F150</f>
        <v>0</v>
      </c>
      <c r="Q150" s="777"/>
    </row>
    <row r="151" spans="1:17" s="635" customFormat="1" ht="23.25">
      <c r="A151" s="1069" t="s">
        <v>999</v>
      </c>
      <c r="B151" s="1070"/>
      <c r="C151" s="1071"/>
      <c r="D151" s="623"/>
      <c r="E151" s="632"/>
      <c r="F151" s="624"/>
      <c r="G151" s="634"/>
      <c r="H151" s="625"/>
      <c r="Q151" s="777"/>
    </row>
    <row r="152" spans="1:17" ht="23.25">
      <c r="A152" s="504"/>
      <c r="B152" s="489" t="s">
        <v>66</v>
      </c>
      <c r="C152" s="652">
        <f>SUM(C92:C150)</f>
        <v>210000</v>
      </c>
      <c r="D152" s="505">
        <f>SUM(D92:D151)</f>
        <v>191830</v>
      </c>
      <c r="E152" s="505">
        <f>SUM(E92:E150)</f>
        <v>8000</v>
      </c>
      <c r="F152" s="505" t="e">
        <f>SUM(F92:F150)</f>
        <v>#REF!</v>
      </c>
      <c r="G152" s="505">
        <f>SUM(G92:G150)</f>
        <v>0</v>
      </c>
      <c r="H152" s="505">
        <f>SUM(H92:H150)</f>
        <v>10170</v>
      </c>
    </row>
    <row r="153" spans="1:17" ht="23.25">
      <c r="A153" s="506"/>
      <c r="B153" s="507"/>
      <c r="C153" s="653"/>
      <c r="D153" s="508"/>
      <c r="E153" s="508"/>
      <c r="F153" s="508"/>
      <c r="G153" s="509"/>
      <c r="H153" s="510"/>
    </row>
    <row r="154" spans="1:17" customFormat="1" ht="23.25">
      <c r="A154" s="1052" t="s">
        <v>1311</v>
      </c>
      <c r="B154" s="1052"/>
      <c r="C154" s="1052"/>
      <c r="D154" s="1052"/>
      <c r="E154" s="1052"/>
      <c r="F154" s="1052"/>
      <c r="G154" s="1052"/>
      <c r="H154" s="1052"/>
      <c r="K154" s="424"/>
      <c r="L154" s="424"/>
      <c r="M154" s="424"/>
      <c r="N154" s="424"/>
      <c r="O154" s="424"/>
      <c r="P154" s="424"/>
      <c r="Q154" s="778"/>
    </row>
    <row r="155" spans="1:17" customFormat="1" ht="21">
      <c r="A155" s="1053" t="s">
        <v>1312</v>
      </c>
      <c r="B155" s="1053"/>
      <c r="C155" s="1053"/>
      <c r="D155" s="1053"/>
      <c r="E155" s="1053"/>
      <c r="F155" s="1053"/>
      <c r="G155" s="1053"/>
      <c r="H155" s="1053"/>
      <c r="K155" s="424"/>
      <c r="L155" s="424"/>
      <c r="M155" s="424"/>
      <c r="N155" s="424"/>
      <c r="O155" s="424"/>
      <c r="P155" s="424"/>
      <c r="Q155" s="778"/>
    </row>
    <row r="156" spans="1:17" customFormat="1" ht="21">
      <c r="A156" s="1053" t="s">
        <v>1313</v>
      </c>
      <c r="B156" s="1053"/>
      <c r="C156" s="1053"/>
      <c r="D156" s="1053"/>
      <c r="E156" s="1053"/>
      <c r="F156" s="1053"/>
      <c r="G156" s="1053"/>
      <c r="H156" s="1053"/>
      <c r="Q156" s="778"/>
    </row>
    <row r="157" spans="1:17" customFormat="1" ht="21">
      <c r="A157" s="1053" t="s">
        <v>1393</v>
      </c>
      <c r="B157" s="1053"/>
      <c r="C157" s="1053"/>
      <c r="D157" s="1053"/>
      <c r="E157" s="1053"/>
      <c r="F157" s="1053"/>
      <c r="G157" s="1053"/>
      <c r="H157" s="1053"/>
      <c r="Q157" s="778"/>
    </row>
    <row r="158" spans="1:17" customFormat="1" ht="21">
      <c r="A158" s="593"/>
      <c r="B158" s="1054" t="s">
        <v>1394</v>
      </c>
      <c r="C158" s="1054"/>
      <c r="D158" s="1054"/>
      <c r="E158" s="1054"/>
      <c r="F158" s="1054"/>
      <c r="G158" s="1054"/>
      <c r="H158" s="593"/>
      <c r="Q158" s="778"/>
    </row>
    <row r="159" spans="1:17" customFormat="1" ht="23.25">
      <c r="A159" s="1055"/>
      <c r="B159" s="1056" t="s">
        <v>220</v>
      </c>
      <c r="C159" s="1057" t="s">
        <v>1264</v>
      </c>
      <c r="D159" s="1056" t="s">
        <v>1315</v>
      </c>
      <c r="E159" s="1056"/>
      <c r="F159" s="1058" t="s">
        <v>1266</v>
      </c>
      <c r="G159" s="1058" t="s">
        <v>1267</v>
      </c>
      <c r="H159" s="1065" t="s">
        <v>1268</v>
      </c>
      <c r="Q159" s="778"/>
    </row>
    <row r="160" spans="1:17" customFormat="1" ht="39.75" customHeight="1">
      <c r="A160" s="1055"/>
      <c r="B160" s="1056"/>
      <c r="C160" s="1057"/>
      <c r="D160" s="588" t="s">
        <v>1269</v>
      </c>
      <c r="E160" s="588" t="s">
        <v>1316</v>
      </c>
      <c r="F160" s="1059"/>
      <c r="G160" s="1059"/>
      <c r="H160" s="1065"/>
      <c r="Q160" s="778"/>
    </row>
    <row r="161" spans="1:17" customFormat="1" ht="26.25" customHeight="1">
      <c r="A161" s="490">
        <v>1</v>
      </c>
      <c r="B161" s="491" t="s">
        <v>14</v>
      </c>
      <c r="C161" s="650"/>
      <c r="D161" s="492"/>
      <c r="E161" s="492"/>
      <c r="F161" s="493"/>
      <c r="G161" s="494"/>
      <c r="H161" s="494"/>
      <c r="Q161" s="778"/>
    </row>
    <row r="162" spans="1:17" customFormat="1" ht="26.25" customHeight="1">
      <c r="A162" s="490"/>
      <c r="B162" s="495" t="s">
        <v>1317</v>
      </c>
      <c r="C162" s="650">
        <v>9000</v>
      </c>
      <c r="D162" s="650">
        <v>9000</v>
      </c>
      <c r="E162" s="492">
        <v>0</v>
      </c>
      <c r="F162" s="493">
        <f>D162+E162</f>
        <v>9000</v>
      </c>
      <c r="G162" s="494"/>
      <c r="H162" s="494">
        <f t="shared" ref="H162:H171" si="18">C162-F162</f>
        <v>0</v>
      </c>
      <c r="Q162" s="778"/>
    </row>
    <row r="163" spans="1:17" customFormat="1" ht="26.25" customHeight="1">
      <c r="A163" s="490"/>
      <c r="B163" s="495" t="s">
        <v>1319</v>
      </c>
      <c r="C163" s="650">
        <v>9000</v>
      </c>
      <c r="D163" s="650">
        <v>9000</v>
      </c>
      <c r="E163" s="492">
        <v>0</v>
      </c>
      <c r="F163" s="493">
        <f t="shared" ref="F163:F215" si="19">D163+E163</f>
        <v>9000</v>
      </c>
      <c r="G163" s="494"/>
      <c r="H163" s="494">
        <f t="shared" si="18"/>
        <v>0</v>
      </c>
      <c r="K163" s="1050" t="s">
        <v>1313</v>
      </c>
      <c r="L163" s="1050"/>
      <c r="M163" s="1050"/>
      <c r="N163" s="1050"/>
      <c r="O163" s="1050"/>
      <c r="Q163" s="778"/>
    </row>
    <row r="164" spans="1:17" customFormat="1" ht="26.25" customHeight="1">
      <c r="A164" s="490"/>
      <c r="B164" s="495" t="s">
        <v>1320</v>
      </c>
      <c r="C164" s="650">
        <v>9000</v>
      </c>
      <c r="D164" s="650">
        <v>9000</v>
      </c>
      <c r="E164" s="492">
        <v>0</v>
      </c>
      <c r="F164" s="493">
        <f t="shared" si="19"/>
        <v>9000</v>
      </c>
      <c r="G164" s="494"/>
      <c r="H164" s="494">
        <f t="shared" si="18"/>
        <v>0</v>
      </c>
      <c r="K164" s="1050" t="s">
        <v>1393</v>
      </c>
      <c r="L164" s="1050"/>
      <c r="M164" s="1050"/>
      <c r="N164" s="1050"/>
      <c r="O164" s="1050"/>
      <c r="Q164" s="778"/>
    </row>
    <row r="165" spans="1:17" customFormat="1" ht="26.25" customHeight="1">
      <c r="A165" s="490"/>
      <c r="B165" s="495" t="s">
        <v>1321</v>
      </c>
      <c r="C165" s="650">
        <v>9000</v>
      </c>
      <c r="D165" s="650">
        <v>9000</v>
      </c>
      <c r="E165" s="492">
        <v>0</v>
      </c>
      <c r="F165" s="493">
        <f t="shared" si="19"/>
        <v>9000</v>
      </c>
      <c r="G165" s="494"/>
      <c r="H165" s="494">
        <f t="shared" si="18"/>
        <v>0</v>
      </c>
      <c r="K165" s="601" t="s">
        <v>1395</v>
      </c>
      <c r="L165" s="601" t="s">
        <v>85</v>
      </c>
      <c r="M165" s="601" t="s">
        <v>972</v>
      </c>
      <c r="N165" s="601" t="s">
        <v>1410</v>
      </c>
      <c r="O165" s="601" t="s">
        <v>63</v>
      </c>
      <c r="Q165" s="778"/>
    </row>
    <row r="166" spans="1:17" customFormat="1" ht="26.25" customHeight="1">
      <c r="A166" s="490"/>
      <c r="B166" s="495" t="s">
        <v>1322</v>
      </c>
      <c r="C166" s="650">
        <v>9000</v>
      </c>
      <c r="D166" s="650">
        <v>9000</v>
      </c>
      <c r="E166" s="492">
        <v>0</v>
      </c>
      <c r="F166" s="493">
        <f t="shared" si="19"/>
        <v>9000</v>
      </c>
      <c r="G166" s="494"/>
      <c r="H166" s="494">
        <f t="shared" si="18"/>
        <v>0</v>
      </c>
      <c r="K166" s="602" t="s">
        <v>1396</v>
      </c>
      <c r="L166" s="603">
        <f>SUM(C162:C166)</f>
        <v>45000</v>
      </c>
      <c r="M166" s="603">
        <f>SUM(D162:D166)</f>
        <v>45000</v>
      </c>
      <c r="N166" s="603">
        <v>0</v>
      </c>
      <c r="O166" s="603">
        <f>L166-M166-N166</f>
        <v>0</v>
      </c>
      <c r="P166" s="164">
        <f>M166+N166</f>
        <v>45000</v>
      </c>
      <c r="Q166" s="778">
        <f>P166*100/L166</f>
        <v>100</v>
      </c>
    </row>
    <row r="167" spans="1:17" customFormat="1" ht="26.25" customHeight="1">
      <c r="A167" s="490"/>
      <c r="B167" s="495" t="s">
        <v>1323</v>
      </c>
      <c r="C167" s="650">
        <v>9000</v>
      </c>
      <c r="D167" s="492">
        <v>9000</v>
      </c>
      <c r="E167" s="492">
        <v>0</v>
      </c>
      <c r="F167" s="493">
        <f t="shared" si="19"/>
        <v>9000</v>
      </c>
      <c r="G167" s="494"/>
      <c r="H167" s="494">
        <f t="shared" si="18"/>
        <v>0</v>
      </c>
      <c r="K167" s="602" t="s">
        <v>1414</v>
      </c>
      <c r="L167" s="603">
        <f>SUM(C173:C175)</f>
        <v>27000</v>
      </c>
      <c r="M167" s="603">
        <f>SUM(D173:D175)</f>
        <v>27000</v>
      </c>
      <c r="N167" s="603">
        <v>0</v>
      </c>
      <c r="O167" s="603">
        <f t="shared" ref="O167:O182" si="20">L167-M167-N167</f>
        <v>0</v>
      </c>
      <c r="P167" s="164">
        <f t="shared" ref="P167:P184" si="21">M167+N167</f>
        <v>27000</v>
      </c>
      <c r="Q167" s="778">
        <f t="shared" ref="Q167:Q184" si="22">P167*100/L167</f>
        <v>100</v>
      </c>
    </row>
    <row r="168" spans="1:17" customFormat="1" ht="26.25" customHeight="1">
      <c r="A168" s="490"/>
      <c r="B168" s="495" t="s">
        <v>1324</v>
      </c>
      <c r="C168" s="650">
        <v>9000</v>
      </c>
      <c r="D168" s="492">
        <v>9000</v>
      </c>
      <c r="E168" s="492">
        <v>0</v>
      </c>
      <c r="F168" s="493">
        <f t="shared" si="19"/>
        <v>9000</v>
      </c>
      <c r="G168" s="494"/>
      <c r="H168" s="494">
        <f t="shared" si="18"/>
        <v>0</v>
      </c>
      <c r="K168" s="602" t="s">
        <v>1413</v>
      </c>
      <c r="L168" s="603">
        <f>SUM(C177:C180)</f>
        <v>36000</v>
      </c>
      <c r="M168" s="603">
        <f>D177</f>
        <v>36000</v>
      </c>
      <c r="N168" s="603">
        <v>0</v>
      </c>
      <c r="O168" s="603">
        <f t="shared" si="20"/>
        <v>0</v>
      </c>
      <c r="P168" s="164">
        <f t="shared" si="21"/>
        <v>36000</v>
      </c>
      <c r="Q168" s="778">
        <f t="shared" si="22"/>
        <v>100</v>
      </c>
    </row>
    <row r="169" spans="1:17" customFormat="1" ht="26.25" customHeight="1">
      <c r="A169" s="490"/>
      <c r="B169" s="495" t="s">
        <v>1325</v>
      </c>
      <c r="C169" s="650">
        <v>9000</v>
      </c>
      <c r="D169" s="492">
        <v>9000</v>
      </c>
      <c r="E169" s="492">
        <v>0</v>
      </c>
      <c r="F169" s="493">
        <f t="shared" si="19"/>
        <v>9000</v>
      </c>
      <c r="G169" s="494"/>
      <c r="H169" s="494">
        <f t="shared" si="18"/>
        <v>0</v>
      </c>
      <c r="K169" s="602" t="s">
        <v>1412</v>
      </c>
      <c r="L169" s="603">
        <f>SUM(C182:C183)</f>
        <v>18000</v>
      </c>
      <c r="M169" s="603">
        <v>0</v>
      </c>
      <c r="N169" s="603">
        <f>SUM(E182:E183)</f>
        <v>17860</v>
      </c>
      <c r="O169" s="603">
        <f t="shared" si="20"/>
        <v>140</v>
      </c>
      <c r="P169" s="164">
        <f t="shared" si="21"/>
        <v>17860</v>
      </c>
      <c r="Q169" s="778">
        <f t="shared" si="22"/>
        <v>99.222222222222229</v>
      </c>
    </row>
    <row r="170" spans="1:17" customFormat="1" ht="26.25" customHeight="1">
      <c r="A170" s="490"/>
      <c r="B170" s="495" t="s">
        <v>1326</v>
      </c>
      <c r="C170" s="650">
        <v>9000</v>
      </c>
      <c r="D170" s="492">
        <v>9000</v>
      </c>
      <c r="E170" s="492">
        <v>0</v>
      </c>
      <c r="F170" s="493">
        <f t="shared" si="19"/>
        <v>9000</v>
      </c>
      <c r="G170" s="494"/>
      <c r="H170" s="494">
        <f t="shared" si="18"/>
        <v>0</v>
      </c>
      <c r="K170" s="604" t="s">
        <v>1411</v>
      </c>
      <c r="L170" s="603">
        <f>SUM(C185)</f>
        <v>9000</v>
      </c>
      <c r="M170" s="603">
        <f>SUM(D185)</f>
        <v>9000</v>
      </c>
      <c r="N170" s="603"/>
      <c r="O170" s="603">
        <f t="shared" si="20"/>
        <v>0</v>
      </c>
      <c r="P170" s="164">
        <f t="shared" si="21"/>
        <v>9000</v>
      </c>
      <c r="Q170" s="778">
        <f t="shared" si="22"/>
        <v>100</v>
      </c>
    </row>
    <row r="171" spans="1:17" customFormat="1" ht="26.25" customHeight="1">
      <c r="A171" s="490"/>
      <c r="B171" s="495" t="s">
        <v>1327</v>
      </c>
      <c r="C171" s="650">
        <v>9000</v>
      </c>
      <c r="D171" s="492">
        <v>9000</v>
      </c>
      <c r="E171" s="492">
        <v>0</v>
      </c>
      <c r="F171" s="493">
        <f t="shared" si="19"/>
        <v>9000</v>
      </c>
      <c r="G171" s="494"/>
      <c r="H171" s="494">
        <f t="shared" si="18"/>
        <v>0</v>
      </c>
      <c r="K171" s="604" t="s">
        <v>1407</v>
      </c>
      <c r="L171" s="603">
        <f>SUM(C188:C189)</f>
        <v>18000</v>
      </c>
      <c r="M171" s="603">
        <f>+D188+D189</f>
        <v>17920</v>
      </c>
      <c r="N171" s="603">
        <f>SUM(E188:E189)</f>
        <v>0</v>
      </c>
      <c r="O171" s="603">
        <f t="shared" si="20"/>
        <v>80</v>
      </c>
      <c r="P171" s="164">
        <f t="shared" si="21"/>
        <v>17920</v>
      </c>
      <c r="Q171" s="778">
        <f t="shared" si="22"/>
        <v>99.555555555555557</v>
      </c>
    </row>
    <row r="172" spans="1:17" customFormat="1" ht="23.25">
      <c r="A172" s="490">
        <v>2</v>
      </c>
      <c r="B172" s="496" t="s">
        <v>221</v>
      </c>
      <c r="C172" s="650"/>
      <c r="D172" s="492"/>
      <c r="E172" s="492"/>
      <c r="F172" s="493">
        <f t="shared" si="19"/>
        <v>0</v>
      </c>
      <c r="G172" s="494"/>
      <c r="H172" s="494"/>
      <c r="K172" s="604" t="s">
        <v>1408</v>
      </c>
      <c r="L172" s="603">
        <f>SUM(C191)</f>
        <v>9000</v>
      </c>
      <c r="M172" s="603">
        <f>SUM(D191)</f>
        <v>9000</v>
      </c>
      <c r="N172" s="603">
        <v>0</v>
      </c>
      <c r="O172" s="603">
        <f t="shared" si="20"/>
        <v>0</v>
      </c>
      <c r="P172" s="164">
        <f t="shared" si="21"/>
        <v>9000</v>
      </c>
      <c r="Q172" s="778">
        <f t="shared" si="22"/>
        <v>100</v>
      </c>
    </row>
    <row r="173" spans="1:17" customFormat="1" ht="23.25">
      <c r="A173" s="490"/>
      <c r="B173" s="498" t="s">
        <v>1329</v>
      </c>
      <c r="C173" s="650">
        <v>9000</v>
      </c>
      <c r="D173" s="492">
        <v>9000</v>
      </c>
      <c r="E173" s="492">
        <v>0</v>
      </c>
      <c r="F173" s="493">
        <f t="shared" si="19"/>
        <v>9000</v>
      </c>
      <c r="G173" s="494"/>
      <c r="H173" s="494">
        <f t="shared" ref="H173:H175" si="23">C173-F173</f>
        <v>0</v>
      </c>
      <c r="K173" s="604" t="s">
        <v>1401</v>
      </c>
      <c r="L173" s="603">
        <f>SUM(C193:C194)</f>
        <v>18000</v>
      </c>
      <c r="M173" s="603">
        <f>D193+D194</f>
        <v>17400</v>
      </c>
      <c r="N173" s="603">
        <f>SUM(E194:E195)</f>
        <v>1500</v>
      </c>
      <c r="O173" s="603">
        <f t="shared" si="20"/>
        <v>-900</v>
      </c>
      <c r="P173" s="164">
        <f t="shared" si="21"/>
        <v>18900</v>
      </c>
      <c r="Q173" s="778">
        <f t="shared" si="22"/>
        <v>105</v>
      </c>
    </row>
    <row r="174" spans="1:17" customFormat="1" ht="23.25">
      <c r="A174" s="490"/>
      <c r="B174" s="498" t="s">
        <v>1330</v>
      </c>
      <c r="C174" s="650">
        <v>9000</v>
      </c>
      <c r="D174" s="492">
        <v>9000</v>
      </c>
      <c r="E174" s="492">
        <v>0</v>
      </c>
      <c r="F174" s="493">
        <f t="shared" si="19"/>
        <v>9000</v>
      </c>
      <c r="G174" s="494"/>
      <c r="H174" s="494">
        <f t="shared" si="23"/>
        <v>0</v>
      </c>
      <c r="K174" s="604" t="s">
        <v>1405</v>
      </c>
      <c r="L174" s="603">
        <f>SUM(C200:C201)</f>
        <v>18000</v>
      </c>
      <c r="M174" s="603">
        <v>0</v>
      </c>
      <c r="N174" s="603">
        <v>0</v>
      </c>
      <c r="O174" s="603">
        <f t="shared" si="20"/>
        <v>18000</v>
      </c>
      <c r="P174" s="164">
        <f t="shared" si="21"/>
        <v>0</v>
      </c>
      <c r="Q174" s="778">
        <f t="shared" si="22"/>
        <v>0</v>
      </c>
    </row>
    <row r="175" spans="1:17" customFormat="1" ht="23.25">
      <c r="A175" s="490"/>
      <c r="B175" s="498" t="s">
        <v>1331</v>
      </c>
      <c r="C175" s="650">
        <v>9000</v>
      </c>
      <c r="D175" s="492">
        <v>9000</v>
      </c>
      <c r="E175" s="492">
        <v>0</v>
      </c>
      <c r="F175" s="493">
        <f t="shared" si="19"/>
        <v>9000</v>
      </c>
      <c r="G175" s="494"/>
      <c r="H175" s="494">
        <f t="shared" si="23"/>
        <v>0</v>
      </c>
      <c r="K175" s="604" t="s">
        <v>1406</v>
      </c>
      <c r="L175" s="603">
        <f>SUM(C203)</f>
        <v>9000</v>
      </c>
      <c r="M175" s="603">
        <f>SUM(D203)</f>
        <v>9000</v>
      </c>
      <c r="N175" s="603">
        <v>0</v>
      </c>
      <c r="O175" s="603">
        <f t="shared" si="20"/>
        <v>0</v>
      </c>
      <c r="P175" s="164">
        <f t="shared" si="21"/>
        <v>9000</v>
      </c>
      <c r="Q175" s="778">
        <f t="shared" si="22"/>
        <v>100</v>
      </c>
    </row>
    <row r="176" spans="1:17" customFormat="1" ht="23.25">
      <c r="A176" s="490">
        <v>3</v>
      </c>
      <c r="B176" s="496" t="s">
        <v>226</v>
      </c>
      <c r="C176" s="650"/>
      <c r="D176" s="492"/>
      <c r="E176" s="497"/>
      <c r="F176" s="493">
        <f t="shared" si="19"/>
        <v>0</v>
      </c>
      <c r="G176" s="494"/>
      <c r="H176" s="494"/>
      <c r="K176" s="604" t="s">
        <v>1404</v>
      </c>
      <c r="L176" s="603">
        <f>SUM(C205:C207)</f>
        <v>27000</v>
      </c>
      <c r="M176" s="603">
        <f>D205</f>
        <v>27000</v>
      </c>
      <c r="N176" s="603">
        <f>SUM(E205:E207)</f>
        <v>0</v>
      </c>
      <c r="O176" s="603">
        <f t="shared" si="20"/>
        <v>0</v>
      </c>
      <c r="P176" s="164">
        <f t="shared" si="21"/>
        <v>27000</v>
      </c>
      <c r="Q176" s="778">
        <f t="shared" si="22"/>
        <v>100</v>
      </c>
    </row>
    <row r="177" spans="1:17" customFormat="1" ht="23.25">
      <c r="A177" s="490"/>
      <c r="B177" s="499" t="s">
        <v>1332</v>
      </c>
      <c r="C177" s="650">
        <v>9000</v>
      </c>
      <c r="D177" s="1044">
        <v>36000</v>
      </c>
      <c r="E177" s="497"/>
      <c r="F177" s="493">
        <f t="shared" si="19"/>
        <v>36000</v>
      </c>
      <c r="G177" s="494"/>
      <c r="H177" s="1047">
        <f>C177+C178+C179+C180-D177</f>
        <v>0</v>
      </c>
      <c r="K177" s="604" t="s">
        <v>1403</v>
      </c>
      <c r="L177" s="603">
        <f>SUM(C210:C211)</f>
        <v>18000</v>
      </c>
      <c r="M177" s="603">
        <f>D210+D211</f>
        <v>18000</v>
      </c>
      <c r="N177" s="603">
        <f>SUM(E210:E211)</f>
        <v>0</v>
      </c>
      <c r="O177" s="603">
        <f t="shared" si="20"/>
        <v>0</v>
      </c>
      <c r="P177" s="164">
        <f t="shared" si="21"/>
        <v>18000</v>
      </c>
      <c r="Q177" s="778">
        <f t="shared" si="22"/>
        <v>100</v>
      </c>
    </row>
    <row r="178" spans="1:17" customFormat="1" ht="23.25">
      <c r="A178" s="490"/>
      <c r="B178" s="499" t="s">
        <v>1333</v>
      </c>
      <c r="C178" s="650">
        <v>9000</v>
      </c>
      <c r="D178" s="1045"/>
      <c r="E178" s="497"/>
      <c r="F178" s="493">
        <f t="shared" si="19"/>
        <v>0</v>
      </c>
      <c r="G178" s="494"/>
      <c r="H178" s="1048"/>
      <c r="K178" s="604" t="s">
        <v>1409</v>
      </c>
      <c r="L178" s="603">
        <f>SUM(C186)</f>
        <v>9000</v>
      </c>
      <c r="M178" s="826">
        <f>D186</f>
        <v>9000</v>
      </c>
      <c r="N178" s="603">
        <f>SUM(E186)</f>
        <v>0</v>
      </c>
      <c r="O178" s="603">
        <f>L178-M178-N178</f>
        <v>0</v>
      </c>
      <c r="P178" s="164">
        <f t="shared" si="21"/>
        <v>9000</v>
      </c>
      <c r="Q178" s="778">
        <f t="shared" si="22"/>
        <v>100</v>
      </c>
    </row>
    <row r="179" spans="1:17" customFormat="1" ht="23.25">
      <c r="A179" s="490"/>
      <c r="B179" s="499" t="s">
        <v>1334</v>
      </c>
      <c r="C179" s="650">
        <v>9000</v>
      </c>
      <c r="D179" s="1045"/>
      <c r="E179" s="497"/>
      <c r="F179" s="493">
        <f t="shared" si="19"/>
        <v>0</v>
      </c>
      <c r="G179" s="494"/>
      <c r="H179" s="1048"/>
      <c r="K179" s="604" t="s">
        <v>1402</v>
      </c>
      <c r="L179" s="603">
        <f>SUM(C195)</f>
        <v>9000</v>
      </c>
      <c r="M179" s="826">
        <f>D195</f>
        <v>8500</v>
      </c>
      <c r="N179" s="603">
        <v>0</v>
      </c>
      <c r="O179" s="603">
        <f>L179-M179-N179</f>
        <v>500</v>
      </c>
      <c r="P179" s="164">
        <f t="shared" si="21"/>
        <v>8500</v>
      </c>
      <c r="Q179" s="778">
        <f t="shared" si="22"/>
        <v>94.444444444444443</v>
      </c>
    </row>
    <row r="180" spans="1:17" customFormat="1" ht="23.25">
      <c r="A180" s="490"/>
      <c r="B180" s="499" t="s">
        <v>1335</v>
      </c>
      <c r="C180" s="650">
        <v>9000</v>
      </c>
      <c r="D180" s="1046"/>
      <c r="E180" s="497"/>
      <c r="F180" s="493">
        <f t="shared" si="19"/>
        <v>0</v>
      </c>
      <c r="G180" s="494"/>
      <c r="H180" s="1049"/>
      <c r="K180" s="604" t="s">
        <v>1398</v>
      </c>
      <c r="L180" s="603">
        <f>SUM(C198)</f>
        <v>9000</v>
      </c>
      <c r="M180" s="826">
        <f>D198</f>
        <v>1500</v>
      </c>
      <c r="N180" s="603">
        <f>SUM(E198)</f>
        <v>7500</v>
      </c>
      <c r="O180" s="603">
        <f>L180-M180-N180</f>
        <v>0</v>
      </c>
      <c r="P180" s="164">
        <f t="shared" si="21"/>
        <v>9000</v>
      </c>
      <c r="Q180" s="778">
        <f t="shared" si="22"/>
        <v>100</v>
      </c>
    </row>
    <row r="181" spans="1:17" customFormat="1" ht="23.25">
      <c r="A181" s="490">
        <v>4</v>
      </c>
      <c r="B181" s="496" t="s">
        <v>222</v>
      </c>
      <c r="C181" s="650"/>
      <c r="D181" s="492"/>
      <c r="E181" s="497"/>
      <c r="F181" s="493">
        <f t="shared" si="19"/>
        <v>0</v>
      </c>
      <c r="G181" s="494"/>
      <c r="H181" s="494"/>
      <c r="K181" s="604" t="s">
        <v>1399</v>
      </c>
      <c r="L181" s="603">
        <f>SUM(C213)</f>
        <v>9000</v>
      </c>
      <c r="M181" s="826">
        <f>SUM(D213)</f>
        <v>8940</v>
      </c>
      <c r="N181" s="603">
        <f>SUM(E213)</f>
        <v>0</v>
      </c>
      <c r="O181" s="603">
        <f t="shared" si="20"/>
        <v>60</v>
      </c>
      <c r="P181" s="164">
        <f t="shared" si="21"/>
        <v>8940</v>
      </c>
      <c r="Q181" s="778">
        <f t="shared" si="22"/>
        <v>99.333333333333329</v>
      </c>
    </row>
    <row r="182" spans="1:17" customFormat="1" ht="23.25">
      <c r="A182" s="490"/>
      <c r="B182" s="499" t="s">
        <v>1336</v>
      </c>
      <c r="C182" s="650">
        <v>9000</v>
      </c>
      <c r="D182" s="492">
        <v>0</v>
      </c>
      <c r="E182" s="497">
        <v>8940</v>
      </c>
      <c r="F182" s="493">
        <f t="shared" si="19"/>
        <v>8940</v>
      </c>
      <c r="G182" s="494"/>
      <c r="H182" s="494">
        <f t="shared" ref="H182:H183" si="24">C182-F182</f>
        <v>60</v>
      </c>
      <c r="K182" s="604" t="s">
        <v>1400</v>
      </c>
      <c r="L182" s="603">
        <f>SUM(C215)</f>
        <v>9000</v>
      </c>
      <c r="M182" s="826">
        <f>D215</f>
        <v>9000</v>
      </c>
      <c r="N182" s="603">
        <f>SUM(E215)</f>
        <v>0</v>
      </c>
      <c r="O182" s="603">
        <f t="shared" si="20"/>
        <v>0</v>
      </c>
      <c r="P182" s="164">
        <f t="shared" si="21"/>
        <v>9000</v>
      </c>
      <c r="Q182" s="778">
        <f t="shared" si="22"/>
        <v>100</v>
      </c>
    </row>
    <row r="183" spans="1:17" customFormat="1" ht="23.25">
      <c r="A183" s="490"/>
      <c r="B183" s="499" t="s">
        <v>1337</v>
      </c>
      <c r="C183" s="650">
        <v>9000</v>
      </c>
      <c r="D183" s="492">
        <v>0</v>
      </c>
      <c r="E183" s="497">
        <v>8920</v>
      </c>
      <c r="F183" s="493">
        <f t="shared" si="19"/>
        <v>8920</v>
      </c>
      <c r="G183" s="494"/>
      <c r="H183" s="494">
        <f t="shared" si="24"/>
        <v>80</v>
      </c>
      <c r="K183" s="602" t="s">
        <v>1397</v>
      </c>
      <c r="L183" s="603">
        <f>SUM(C167:C171)</f>
        <v>45000</v>
      </c>
      <c r="M183" s="826">
        <f>SUM(D167:E171)</f>
        <v>45000</v>
      </c>
      <c r="N183" s="603">
        <v>0</v>
      </c>
      <c r="O183" s="603">
        <f>L183-M183-N183</f>
        <v>0</v>
      </c>
      <c r="P183" s="164">
        <f t="shared" si="21"/>
        <v>45000</v>
      </c>
      <c r="Q183" s="778">
        <f t="shared" si="22"/>
        <v>100</v>
      </c>
    </row>
    <row r="184" spans="1:17" customFormat="1" ht="23.25">
      <c r="A184" s="490">
        <v>5</v>
      </c>
      <c r="B184" s="496" t="s">
        <v>223</v>
      </c>
      <c r="C184" s="650"/>
      <c r="D184" s="492"/>
      <c r="E184" s="497"/>
      <c r="F184" s="493">
        <f t="shared" si="19"/>
        <v>0</v>
      </c>
      <c r="G184" s="494"/>
      <c r="H184" s="494"/>
      <c r="K184" s="601" t="s">
        <v>66</v>
      </c>
      <c r="L184" s="603">
        <f>SUM(L166:L183)</f>
        <v>342000</v>
      </c>
      <c r="M184" s="603">
        <f>SUM(M166:M183)</f>
        <v>297260</v>
      </c>
      <c r="N184" s="603">
        <f>SUM(N166:N182)</f>
        <v>26860</v>
      </c>
      <c r="O184" s="603">
        <f>SUM(O166:O183)</f>
        <v>17880</v>
      </c>
      <c r="P184" s="164">
        <f t="shared" si="21"/>
        <v>324120</v>
      </c>
      <c r="Q184" s="778">
        <f t="shared" si="22"/>
        <v>94.771929824561397</v>
      </c>
    </row>
    <row r="185" spans="1:17" customFormat="1" ht="23.25">
      <c r="A185" s="490"/>
      <c r="B185" s="499" t="s">
        <v>1338</v>
      </c>
      <c r="C185" s="650">
        <v>9000</v>
      </c>
      <c r="D185" s="492">
        <v>9000</v>
      </c>
      <c r="E185" s="497">
        <v>0</v>
      </c>
      <c r="F185" s="493">
        <f t="shared" si="19"/>
        <v>9000</v>
      </c>
      <c r="G185" s="494"/>
      <c r="H185" s="494">
        <f t="shared" ref="H185:H186" si="25">C185-F185</f>
        <v>0</v>
      </c>
      <c r="P185" s="164"/>
      <c r="Q185" s="778"/>
    </row>
    <row r="186" spans="1:17" customFormat="1" ht="23.25">
      <c r="A186" s="490"/>
      <c r="B186" s="499" t="s">
        <v>1339</v>
      </c>
      <c r="C186" s="650">
        <v>9000</v>
      </c>
      <c r="D186" s="492">
        <v>9000</v>
      </c>
      <c r="E186" s="497"/>
      <c r="F186" s="493">
        <f t="shared" si="19"/>
        <v>9000</v>
      </c>
      <c r="G186" s="494"/>
      <c r="H186" s="494">
        <f t="shared" si="25"/>
        <v>0</v>
      </c>
      <c r="L186" s="824">
        <v>342000</v>
      </c>
      <c r="M186" s="824">
        <v>258260</v>
      </c>
      <c r="N186" s="824">
        <v>43320</v>
      </c>
      <c r="O186" s="825">
        <v>40420</v>
      </c>
      <c r="P186" s="824">
        <v>81.485380116959064</v>
      </c>
      <c r="Q186" s="778">
        <v>40420</v>
      </c>
    </row>
    <row r="187" spans="1:17" customFormat="1" ht="23.25">
      <c r="A187" s="490">
        <v>6</v>
      </c>
      <c r="B187" s="496" t="s">
        <v>224</v>
      </c>
      <c r="C187" s="650"/>
      <c r="D187" s="492"/>
      <c r="E187" s="497"/>
      <c r="F187" s="493">
        <f t="shared" si="19"/>
        <v>0</v>
      </c>
      <c r="G187" s="494"/>
      <c r="H187" s="494"/>
      <c r="L187" s="164">
        <f>L184-L186</f>
        <v>0</v>
      </c>
      <c r="M187" s="164">
        <f>M184-M186</f>
        <v>39000</v>
      </c>
      <c r="N187" s="164">
        <f t="shared" ref="N187:P187" si="26">N184-N186</f>
        <v>-16460</v>
      </c>
      <c r="O187" s="164">
        <f>O184-O186</f>
        <v>-22540</v>
      </c>
      <c r="P187" s="164">
        <f t="shared" si="26"/>
        <v>324038.51461988303</v>
      </c>
      <c r="Q187" s="778" t="e">
        <f t="shared" ref="Q187" si="27">P187*100/L187</f>
        <v>#DIV/0!</v>
      </c>
    </row>
    <row r="188" spans="1:17" customFormat="1" ht="23.25">
      <c r="A188" s="490"/>
      <c r="B188" s="499" t="s">
        <v>1340</v>
      </c>
      <c r="C188" s="650">
        <v>9000</v>
      </c>
      <c r="D188" s="497">
        <v>8960</v>
      </c>
      <c r="E188" s="497">
        <v>0</v>
      </c>
      <c r="F188" s="493">
        <f t="shared" si="19"/>
        <v>8960</v>
      </c>
      <c r="G188" s="494"/>
      <c r="H188" s="494">
        <f t="shared" ref="H188:H191" si="28">C188-F188</f>
        <v>40</v>
      </c>
      <c r="Q188" s="778"/>
    </row>
    <row r="189" spans="1:17" customFormat="1" ht="23.25">
      <c r="A189" s="490"/>
      <c r="B189" s="499" t="s">
        <v>1341</v>
      </c>
      <c r="C189" s="650">
        <v>9000</v>
      </c>
      <c r="D189" s="497">
        <v>8960</v>
      </c>
      <c r="E189" s="497">
        <v>0</v>
      </c>
      <c r="F189" s="493">
        <f t="shared" si="19"/>
        <v>8960</v>
      </c>
      <c r="G189" s="494"/>
      <c r="H189" s="494">
        <f t="shared" si="28"/>
        <v>40</v>
      </c>
      <c r="Q189" s="778"/>
    </row>
    <row r="190" spans="1:17" customFormat="1" ht="23.25">
      <c r="A190" s="490">
        <v>7</v>
      </c>
      <c r="B190" s="496" t="s">
        <v>225</v>
      </c>
      <c r="C190" s="650"/>
      <c r="D190" s="492"/>
      <c r="E190" s="497"/>
      <c r="F190" s="493">
        <f t="shared" si="19"/>
        <v>0</v>
      </c>
      <c r="G190" s="494"/>
      <c r="H190" s="494"/>
      <c r="Q190" s="778"/>
    </row>
    <row r="191" spans="1:17" customFormat="1" ht="23.25">
      <c r="A191" s="490"/>
      <c r="B191" s="499" t="s">
        <v>1342</v>
      </c>
      <c r="C191" s="650">
        <v>9000</v>
      </c>
      <c r="D191" s="492">
        <f>6400+2600</f>
        <v>9000</v>
      </c>
      <c r="E191" s="497">
        <v>0</v>
      </c>
      <c r="F191" s="493">
        <f t="shared" si="19"/>
        <v>9000</v>
      </c>
      <c r="G191" s="494"/>
      <c r="H191" s="494">
        <f t="shared" si="28"/>
        <v>0</v>
      </c>
      <c r="Q191" s="778"/>
    </row>
    <row r="192" spans="1:17" customFormat="1" ht="23.25">
      <c r="A192" s="490">
        <v>8</v>
      </c>
      <c r="B192" s="496" t="s">
        <v>231</v>
      </c>
      <c r="C192" s="650"/>
      <c r="D192" s="492"/>
      <c r="E192" s="497"/>
      <c r="F192" s="493">
        <f t="shared" si="19"/>
        <v>0</v>
      </c>
      <c r="G192" s="494"/>
      <c r="H192" s="494"/>
      <c r="Q192" s="778"/>
    </row>
    <row r="193" spans="1:17" customFormat="1" ht="23.25">
      <c r="A193" s="490"/>
      <c r="B193" s="499" t="s">
        <v>1343</v>
      </c>
      <c r="C193" s="650">
        <v>9000</v>
      </c>
      <c r="D193" s="492">
        <f>2400+2000+2000+2000</f>
        <v>8400</v>
      </c>
      <c r="E193" s="497">
        <v>100</v>
      </c>
      <c r="F193" s="493">
        <f t="shared" si="19"/>
        <v>8500</v>
      </c>
      <c r="G193" s="494"/>
      <c r="H193" s="494">
        <f t="shared" ref="H193:H195" si="29">C193-F193</f>
        <v>500</v>
      </c>
      <c r="Q193" s="778"/>
    </row>
    <row r="194" spans="1:17" customFormat="1" ht="23.25">
      <c r="A194" s="490"/>
      <c r="B194" s="499" t="s">
        <v>1344</v>
      </c>
      <c r="C194" s="650">
        <v>9000</v>
      </c>
      <c r="D194" s="492">
        <v>9000</v>
      </c>
      <c r="E194" s="497">
        <v>0</v>
      </c>
      <c r="F194" s="493">
        <f t="shared" si="19"/>
        <v>9000</v>
      </c>
      <c r="G194" s="494"/>
      <c r="H194" s="494">
        <f t="shared" si="29"/>
        <v>0</v>
      </c>
      <c r="Q194" s="778"/>
    </row>
    <row r="195" spans="1:17" customFormat="1" ht="23.25">
      <c r="A195" s="490"/>
      <c r="B195" s="499" t="s">
        <v>1076</v>
      </c>
      <c r="C195" s="650">
        <v>9000</v>
      </c>
      <c r="D195" s="492">
        <f>7500+1000</f>
        <v>8500</v>
      </c>
      <c r="E195" s="497">
        <v>1500</v>
      </c>
      <c r="F195" s="493">
        <f t="shared" si="19"/>
        <v>10000</v>
      </c>
      <c r="G195" s="494"/>
      <c r="H195" s="494">
        <f t="shared" si="29"/>
        <v>-1000</v>
      </c>
      <c r="Q195" s="778"/>
    </row>
    <row r="196" spans="1:17" customFormat="1" ht="23.25">
      <c r="A196" s="490"/>
      <c r="B196" s="499"/>
      <c r="C196" s="650"/>
      <c r="D196" s="492"/>
      <c r="E196" s="497"/>
      <c r="F196" s="493">
        <f t="shared" si="19"/>
        <v>0</v>
      </c>
      <c r="G196" s="494"/>
      <c r="H196" s="494"/>
      <c r="Q196" s="778"/>
    </row>
    <row r="197" spans="1:17" customFormat="1" ht="23.25">
      <c r="A197" s="490">
        <v>9</v>
      </c>
      <c r="B197" s="496" t="s">
        <v>232</v>
      </c>
      <c r="C197" s="650"/>
      <c r="D197" s="492"/>
      <c r="E197" s="497"/>
      <c r="F197" s="493">
        <f t="shared" si="19"/>
        <v>0</v>
      </c>
      <c r="G197" s="494"/>
      <c r="H197" s="494"/>
      <c r="Q197" s="778"/>
    </row>
    <row r="198" spans="1:17" s="295" customFormat="1" ht="23.25">
      <c r="A198" s="490"/>
      <c r="B198" s="499" t="s">
        <v>1077</v>
      </c>
      <c r="C198" s="650">
        <v>9000</v>
      </c>
      <c r="D198" s="492">
        <v>1500</v>
      </c>
      <c r="E198" s="497">
        <v>7500</v>
      </c>
      <c r="F198" s="493">
        <f t="shared" si="19"/>
        <v>9000</v>
      </c>
      <c r="G198" s="494"/>
      <c r="H198" s="494">
        <f t="shared" ref="H198" si="30">C198-F198</f>
        <v>0</v>
      </c>
      <c r="K198"/>
      <c r="L198"/>
      <c r="M198"/>
      <c r="N198"/>
      <c r="O198"/>
      <c r="P198"/>
      <c r="Q198" s="779"/>
    </row>
    <row r="199" spans="1:17" customFormat="1" ht="23.25">
      <c r="A199" s="490">
        <v>10</v>
      </c>
      <c r="B199" s="496" t="s">
        <v>233</v>
      </c>
      <c r="C199" s="650"/>
      <c r="D199" s="492"/>
      <c r="E199" s="497"/>
      <c r="F199" s="493">
        <f t="shared" si="19"/>
        <v>0</v>
      </c>
      <c r="G199" s="494"/>
      <c r="H199" s="494"/>
      <c r="Q199" s="778"/>
    </row>
    <row r="200" spans="1:17" customFormat="1" ht="23.25">
      <c r="A200" s="490"/>
      <c r="B200" s="499" t="s">
        <v>1345</v>
      </c>
      <c r="C200" s="650">
        <v>9000</v>
      </c>
      <c r="D200" s="492">
        <v>8000</v>
      </c>
      <c r="E200" s="497">
        <v>1000</v>
      </c>
      <c r="F200" s="493">
        <f t="shared" si="19"/>
        <v>9000</v>
      </c>
      <c r="G200" s="494"/>
      <c r="H200" s="494">
        <f t="shared" ref="H200:H201" si="31">C200-F200</f>
        <v>0</v>
      </c>
      <c r="P200" s="295"/>
      <c r="Q200" s="778"/>
    </row>
    <row r="201" spans="1:17" customFormat="1" ht="23.25">
      <c r="A201" s="490"/>
      <c r="B201" s="499" t="s">
        <v>1346</v>
      </c>
      <c r="C201" s="650">
        <v>9000</v>
      </c>
      <c r="D201" s="492">
        <v>8000</v>
      </c>
      <c r="E201" s="497">
        <v>1000</v>
      </c>
      <c r="F201" s="493">
        <f t="shared" si="19"/>
        <v>9000</v>
      </c>
      <c r="G201" s="494"/>
      <c r="H201" s="494">
        <f t="shared" si="31"/>
        <v>0</v>
      </c>
      <c r="Q201" s="778"/>
    </row>
    <row r="202" spans="1:17" customFormat="1" ht="23.25">
      <c r="A202" s="490">
        <v>11</v>
      </c>
      <c r="B202" s="496" t="s">
        <v>234</v>
      </c>
      <c r="C202" s="650"/>
      <c r="D202" s="492"/>
      <c r="E202" s="497"/>
      <c r="F202" s="493">
        <f t="shared" si="19"/>
        <v>0</v>
      </c>
      <c r="G202" s="494"/>
      <c r="H202" s="494"/>
      <c r="Q202" s="778"/>
    </row>
    <row r="203" spans="1:17" customFormat="1" ht="23.25">
      <c r="A203" s="490"/>
      <c r="B203" s="499" t="s">
        <v>1348</v>
      </c>
      <c r="C203" s="650">
        <v>9000</v>
      </c>
      <c r="D203" s="492">
        <v>9000</v>
      </c>
      <c r="E203" s="497">
        <v>0</v>
      </c>
      <c r="F203" s="493">
        <f t="shared" si="19"/>
        <v>9000</v>
      </c>
      <c r="G203" s="494"/>
      <c r="H203" s="494">
        <f t="shared" ref="H203:H211" si="32">C203-F203</f>
        <v>0</v>
      </c>
      <c r="K203" s="295"/>
      <c r="L203" s="295"/>
      <c r="M203" s="295"/>
      <c r="N203" s="295"/>
      <c r="O203" s="295"/>
      <c r="Q203" s="778"/>
    </row>
    <row r="204" spans="1:17" customFormat="1" ht="23.25">
      <c r="A204" s="490">
        <v>13</v>
      </c>
      <c r="B204" s="496" t="s">
        <v>227</v>
      </c>
      <c r="C204" s="650"/>
      <c r="D204" s="492"/>
      <c r="E204" s="497"/>
      <c r="F204" s="493">
        <f t="shared" si="19"/>
        <v>0</v>
      </c>
      <c r="G204" s="494"/>
      <c r="H204" s="494"/>
      <c r="Q204" s="778"/>
    </row>
    <row r="205" spans="1:17" customFormat="1" ht="23.25">
      <c r="A205" s="490"/>
      <c r="B205" s="499" t="s">
        <v>1349</v>
      </c>
      <c r="C205" s="650">
        <v>9000</v>
      </c>
      <c r="D205" s="1047">
        <f>22100+4900</f>
        <v>27000</v>
      </c>
      <c r="E205" s="650"/>
      <c r="F205" s="594"/>
      <c r="G205" s="494"/>
      <c r="H205" s="1047">
        <f>C205+C206+C207-D205</f>
        <v>0</v>
      </c>
      <c r="Q205" s="778"/>
    </row>
    <row r="206" spans="1:17" customFormat="1" ht="23.25">
      <c r="A206" s="490"/>
      <c r="B206" s="499" t="s">
        <v>1350</v>
      </c>
      <c r="C206" s="650">
        <v>9000</v>
      </c>
      <c r="D206" s="1048"/>
      <c r="E206" s="650"/>
      <c r="F206" s="594"/>
      <c r="G206" s="494"/>
      <c r="H206" s="1048"/>
      <c r="Q206" s="778"/>
    </row>
    <row r="207" spans="1:17" customFormat="1" ht="23.25">
      <c r="A207" s="490"/>
      <c r="B207" s="499" t="s">
        <v>1351</v>
      </c>
      <c r="C207" s="650">
        <v>9000</v>
      </c>
      <c r="D207" s="1049"/>
      <c r="E207" s="650"/>
      <c r="F207" s="594"/>
      <c r="G207" s="494"/>
      <c r="H207" s="1049"/>
      <c r="Q207" s="778"/>
    </row>
    <row r="208" spans="1:17" customFormat="1" ht="23.25">
      <c r="A208" s="490"/>
      <c r="B208" s="499"/>
      <c r="C208" s="650"/>
      <c r="D208" s="492"/>
      <c r="E208" s="497"/>
      <c r="F208" s="493">
        <f t="shared" si="19"/>
        <v>0</v>
      </c>
      <c r="G208" s="494"/>
      <c r="H208" s="494"/>
      <c r="Q208" s="778"/>
    </row>
    <row r="209" spans="1:17" customFormat="1" ht="23.25">
      <c r="A209" s="490">
        <v>14</v>
      </c>
      <c r="B209" s="496" t="s">
        <v>228</v>
      </c>
      <c r="C209" s="650"/>
      <c r="D209" s="492"/>
      <c r="E209" s="497"/>
      <c r="F209" s="493">
        <f t="shared" si="19"/>
        <v>0</v>
      </c>
      <c r="G209" s="494"/>
      <c r="H209" s="494"/>
      <c r="Q209" s="778"/>
    </row>
    <row r="210" spans="1:17" customFormat="1" ht="23.25">
      <c r="A210" s="490"/>
      <c r="B210" s="499" t="s">
        <v>1352</v>
      </c>
      <c r="C210" s="650">
        <v>9000</v>
      </c>
      <c r="D210" s="492">
        <v>9000</v>
      </c>
      <c r="E210" s="497">
        <v>0</v>
      </c>
      <c r="F210" s="493">
        <f t="shared" si="19"/>
        <v>9000</v>
      </c>
      <c r="G210" s="494"/>
      <c r="H210" s="494">
        <f t="shared" si="32"/>
        <v>0</v>
      </c>
      <c r="Q210" s="778"/>
    </row>
    <row r="211" spans="1:17" customFormat="1" ht="23.25" customHeight="1">
      <c r="A211" s="490"/>
      <c r="B211" s="499" t="s">
        <v>1353</v>
      </c>
      <c r="C211" s="650">
        <v>9000</v>
      </c>
      <c r="D211" s="492">
        <v>9000</v>
      </c>
      <c r="E211" s="497">
        <v>0</v>
      </c>
      <c r="F211" s="493">
        <f t="shared" si="19"/>
        <v>9000</v>
      </c>
      <c r="G211" s="494"/>
      <c r="H211" s="494">
        <f t="shared" si="32"/>
        <v>0</v>
      </c>
      <c r="Q211" s="778"/>
    </row>
    <row r="212" spans="1:17" customFormat="1" ht="23.25" customHeight="1">
      <c r="A212" s="500">
        <v>15</v>
      </c>
      <c r="B212" s="501" t="s">
        <v>229</v>
      </c>
      <c r="C212" s="650"/>
      <c r="D212" s="492"/>
      <c r="E212" s="502"/>
      <c r="F212" s="493">
        <f t="shared" si="19"/>
        <v>0</v>
      </c>
      <c r="G212" s="494"/>
      <c r="H212" s="494"/>
      <c r="Q212" s="778"/>
    </row>
    <row r="213" spans="1:17" customFormat="1" ht="23.25" customHeight="1">
      <c r="A213" s="500"/>
      <c r="B213" s="503" t="s">
        <v>1074</v>
      </c>
      <c r="C213" s="650">
        <v>9000</v>
      </c>
      <c r="D213" s="492">
        <f>1540+7400</f>
        <v>8940</v>
      </c>
      <c r="E213" s="502">
        <v>0</v>
      </c>
      <c r="F213" s="493">
        <f t="shared" si="19"/>
        <v>8940</v>
      </c>
      <c r="G213" s="494"/>
      <c r="H213" s="494">
        <f t="shared" ref="H213" si="33">C213-F213</f>
        <v>60</v>
      </c>
      <c r="Q213" s="778"/>
    </row>
    <row r="214" spans="1:17" customFormat="1" ht="23.25">
      <c r="A214" s="500">
        <v>16</v>
      </c>
      <c r="B214" s="501" t="s">
        <v>230</v>
      </c>
      <c r="C214" s="650"/>
      <c r="D214" s="492"/>
      <c r="E214" s="502"/>
      <c r="F214" s="493">
        <f t="shared" si="19"/>
        <v>0</v>
      </c>
      <c r="G214" s="557"/>
      <c r="H214" s="494"/>
      <c r="Q214" s="778"/>
    </row>
    <row r="215" spans="1:17" customFormat="1" ht="23.25">
      <c r="A215" s="500"/>
      <c r="B215" s="503" t="s">
        <v>962</v>
      </c>
      <c r="C215" s="650">
        <v>9000</v>
      </c>
      <c r="D215" s="492">
        <v>9000</v>
      </c>
      <c r="E215" s="502">
        <v>0</v>
      </c>
      <c r="F215" s="493">
        <f t="shared" si="19"/>
        <v>9000</v>
      </c>
      <c r="G215" s="557"/>
      <c r="H215" s="494">
        <f t="shared" ref="H215" si="34">C215-F215</f>
        <v>0</v>
      </c>
      <c r="Q215" s="778"/>
    </row>
    <row r="216" spans="1:17" customFormat="1" ht="23.25">
      <c r="A216" s="587"/>
      <c r="B216" s="501"/>
      <c r="C216" s="654"/>
      <c r="D216" s="595"/>
      <c r="E216" s="595"/>
      <c r="F216" s="596"/>
      <c r="G216" s="597"/>
      <c r="H216" s="598"/>
      <c r="Q216" s="778"/>
    </row>
    <row r="217" spans="1:17" customFormat="1" ht="23.25" customHeight="1">
      <c r="A217" s="587"/>
      <c r="B217" s="588" t="s">
        <v>66</v>
      </c>
      <c r="C217" s="652">
        <f>SUM(C161:C216)</f>
        <v>342000</v>
      </c>
      <c r="D217" s="596">
        <f>SUM(D161:D216)</f>
        <v>313260</v>
      </c>
      <c r="E217" s="596">
        <f>SUM(E161:E216)</f>
        <v>28960</v>
      </c>
      <c r="F217" s="596">
        <f>SUM(F161:F216)</f>
        <v>315220</v>
      </c>
      <c r="G217" s="599">
        <f>F217*100/C217</f>
        <v>92.169590643274859</v>
      </c>
      <c r="H217" s="599">
        <f>SUM(H161:H216)</f>
        <v>-220</v>
      </c>
      <c r="Q217" s="778"/>
    </row>
    <row r="218" spans="1:17" ht="23.25">
      <c r="A218" s="506"/>
      <c r="B218" s="507"/>
      <c r="C218" s="653"/>
      <c r="D218" s="508"/>
      <c r="E218" s="508"/>
      <c r="F218" s="508" t="s">
        <v>83</v>
      </c>
      <c r="G218" s="1072" t="s">
        <v>1354</v>
      </c>
      <c r="H218" s="1072"/>
      <c r="K218" s="164">
        <f>C217-D217</f>
        <v>28740</v>
      </c>
      <c r="L218"/>
      <c r="M218"/>
      <c r="N218"/>
      <c r="O218"/>
      <c r="P218"/>
    </row>
    <row r="219" spans="1:17" ht="23.25">
      <c r="A219" s="1052" t="s">
        <v>1311</v>
      </c>
      <c r="B219" s="1052"/>
      <c r="C219" s="1052"/>
      <c r="D219" s="1052"/>
      <c r="E219" s="1052"/>
      <c r="F219" s="1052"/>
      <c r="G219" s="1052"/>
      <c r="H219" s="1052"/>
      <c r="I219" s="1052"/>
      <c r="K219"/>
      <c r="L219"/>
      <c r="M219"/>
      <c r="N219"/>
      <c r="O219"/>
      <c r="P219"/>
    </row>
    <row r="220" spans="1:17" ht="21">
      <c r="A220" s="1053" t="s">
        <v>1312</v>
      </c>
      <c r="B220" s="1053"/>
      <c r="C220" s="1053"/>
      <c r="D220" s="1053"/>
      <c r="E220" s="1053"/>
      <c r="F220" s="1053"/>
      <c r="G220" s="1053"/>
      <c r="H220" s="1053"/>
      <c r="I220" s="1053"/>
      <c r="K220"/>
      <c r="L220"/>
      <c r="M220"/>
      <c r="N220"/>
      <c r="O220"/>
    </row>
    <row r="221" spans="1:17" ht="21">
      <c r="A221" s="1053" t="s">
        <v>1313</v>
      </c>
      <c r="B221" s="1053"/>
      <c r="C221" s="1053"/>
      <c r="D221" s="1053"/>
      <c r="E221" s="1053"/>
      <c r="F221" s="1053"/>
      <c r="G221" s="1053"/>
      <c r="H221" s="1053"/>
      <c r="I221" s="1053"/>
      <c r="K221"/>
      <c r="L221"/>
      <c r="M221"/>
      <c r="N221"/>
      <c r="O221"/>
    </row>
    <row r="222" spans="1:17" ht="19.5" thickBot="1">
      <c r="K222"/>
      <c r="L222"/>
      <c r="M222"/>
      <c r="N222"/>
      <c r="O222"/>
    </row>
    <row r="223" spans="1:17">
      <c r="A223" s="1088" t="s">
        <v>128</v>
      </c>
      <c r="B223" s="1091" t="s">
        <v>1262</v>
      </c>
      <c r="C223" s="1084" t="s">
        <v>1263</v>
      </c>
      <c r="D223" s="1084"/>
      <c r="E223" s="1084"/>
      <c r="F223" s="1084"/>
      <c r="G223" s="1084"/>
      <c r="H223" s="1084"/>
      <c r="I223" s="1085"/>
    </row>
    <row r="224" spans="1:17">
      <c r="A224" s="1089"/>
      <c r="B224" s="1092"/>
      <c r="C224" s="1094" t="s">
        <v>1264</v>
      </c>
      <c r="D224" s="1079" t="s">
        <v>1356</v>
      </c>
      <c r="E224" s="1079"/>
      <c r="F224" s="1080" t="s">
        <v>1266</v>
      </c>
      <c r="G224" s="1080" t="s">
        <v>1267</v>
      </c>
      <c r="H224" s="1086" t="s">
        <v>1268</v>
      </c>
      <c r="I224" s="1082" t="s">
        <v>1422</v>
      </c>
    </row>
    <row r="225" spans="1:9" ht="19.5" thickBot="1">
      <c r="A225" s="1090"/>
      <c r="B225" s="1093"/>
      <c r="C225" s="1095"/>
      <c r="D225" s="658" t="s">
        <v>1269</v>
      </c>
      <c r="E225" s="662" t="s">
        <v>1270</v>
      </c>
      <c r="F225" s="1081"/>
      <c r="G225" s="1081"/>
      <c r="H225" s="1087"/>
      <c r="I225" s="1083"/>
    </row>
    <row r="226" spans="1:9">
      <c r="A226" s="659">
        <v>1</v>
      </c>
      <c r="B226" s="660" t="s">
        <v>1274</v>
      </c>
      <c r="C226" s="661">
        <v>10000</v>
      </c>
      <c r="D226" s="445">
        <v>10000</v>
      </c>
      <c r="E226" s="734">
        <v>0</v>
      </c>
      <c r="F226" s="447">
        <f t="shared" ref="F226:F241" si="35">D226+E226</f>
        <v>10000</v>
      </c>
      <c r="G226" s="445">
        <f>F226*100/C226</f>
        <v>100</v>
      </c>
      <c r="H226" s="448">
        <f>C226-D226-E226</f>
        <v>0</v>
      </c>
      <c r="I226" s="657">
        <f>(D226+E226)*100/C226</f>
        <v>100</v>
      </c>
    </row>
    <row r="227" spans="1:9">
      <c r="A227" s="656">
        <v>2</v>
      </c>
      <c r="B227" s="441" t="s">
        <v>980</v>
      </c>
      <c r="C227" s="640">
        <v>10000</v>
      </c>
      <c r="D227" s="435">
        <v>5000</v>
      </c>
      <c r="E227" s="735">
        <v>0</v>
      </c>
      <c r="F227" s="437">
        <f t="shared" si="35"/>
        <v>5000</v>
      </c>
      <c r="G227" s="435">
        <f t="shared" ref="G227:G242" si="36">F227*100/C227</f>
        <v>50</v>
      </c>
      <c r="H227" s="605">
        <f t="shared" ref="H227:H241" si="37">C227-D227-E227</f>
        <v>5000</v>
      </c>
      <c r="I227" s="657">
        <f>(D227+E227)*100/C227</f>
        <v>50</v>
      </c>
    </row>
    <row r="228" spans="1:9">
      <c r="A228" s="656">
        <v>3</v>
      </c>
      <c r="B228" s="441" t="s">
        <v>974</v>
      </c>
      <c r="C228" s="640">
        <v>10000</v>
      </c>
      <c r="D228" s="435">
        <f>4960+4960</f>
        <v>9920</v>
      </c>
      <c r="E228" s="735">
        <v>0</v>
      </c>
      <c r="F228" s="437">
        <f t="shared" si="35"/>
        <v>9920</v>
      </c>
      <c r="G228" s="435">
        <f t="shared" si="36"/>
        <v>99.2</v>
      </c>
      <c r="H228" s="605">
        <f t="shared" si="37"/>
        <v>80</v>
      </c>
      <c r="I228" s="657">
        <f t="shared" ref="I228:I241" si="38">(D228+E228)*100/C228</f>
        <v>99.2</v>
      </c>
    </row>
    <row r="229" spans="1:9">
      <c r="A229" s="656">
        <v>4</v>
      </c>
      <c r="B229" s="441" t="s">
        <v>984</v>
      </c>
      <c r="C229" s="640">
        <v>10000</v>
      </c>
      <c r="D229" s="435">
        <f>4800+5200</f>
        <v>10000</v>
      </c>
      <c r="E229" s="735">
        <v>0</v>
      </c>
      <c r="F229" s="437">
        <f t="shared" si="35"/>
        <v>10000</v>
      </c>
      <c r="G229" s="435">
        <f t="shared" si="36"/>
        <v>100</v>
      </c>
      <c r="H229" s="605">
        <f t="shared" si="37"/>
        <v>0</v>
      </c>
      <c r="I229" s="657">
        <f t="shared" si="38"/>
        <v>100</v>
      </c>
    </row>
    <row r="230" spans="1:9">
      <c r="A230" s="656">
        <v>5</v>
      </c>
      <c r="B230" s="441" t="s">
        <v>982</v>
      </c>
      <c r="C230" s="640">
        <v>10000</v>
      </c>
      <c r="D230" s="435">
        <f>2080+7280</f>
        <v>9360</v>
      </c>
      <c r="E230" s="735">
        <v>0</v>
      </c>
      <c r="F230" s="437">
        <f t="shared" si="35"/>
        <v>9360</v>
      </c>
      <c r="G230" s="435">
        <f t="shared" si="36"/>
        <v>93.6</v>
      </c>
      <c r="H230" s="438">
        <f t="shared" si="37"/>
        <v>640</v>
      </c>
      <c r="I230" s="657">
        <f t="shared" si="38"/>
        <v>93.6</v>
      </c>
    </row>
    <row r="231" spans="1:9">
      <c r="A231" s="656">
        <v>6</v>
      </c>
      <c r="B231" s="441" t="s">
        <v>975</v>
      </c>
      <c r="C231" s="640">
        <v>10000</v>
      </c>
      <c r="D231" s="435">
        <f>3150+5850</f>
        <v>9000</v>
      </c>
      <c r="E231" s="735">
        <v>0</v>
      </c>
      <c r="F231" s="437">
        <f t="shared" si="35"/>
        <v>9000</v>
      </c>
      <c r="G231" s="435">
        <f t="shared" si="36"/>
        <v>90</v>
      </c>
      <c r="H231" s="605">
        <f t="shared" si="37"/>
        <v>1000</v>
      </c>
      <c r="I231" s="657">
        <f t="shared" si="38"/>
        <v>90</v>
      </c>
    </row>
    <row r="232" spans="1:9">
      <c r="A232" s="656">
        <v>7</v>
      </c>
      <c r="B232" s="441" t="s">
        <v>976</v>
      </c>
      <c r="C232" s="640">
        <v>10000</v>
      </c>
      <c r="D232" s="435">
        <v>10000</v>
      </c>
      <c r="E232" s="735">
        <v>0</v>
      </c>
      <c r="F232" s="437">
        <v>10000</v>
      </c>
      <c r="G232" s="435">
        <f t="shared" si="36"/>
        <v>100</v>
      </c>
      <c r="H232" s="438">
        <f t="shared" si="37"/>
        <v>0</v>
      </c>
      <c r="I232" s="657">
        <f t="shared" si="38"/>
        <v>100</v>
      </c>
    </row>
    <row r="233" spans="1:9">
      <c r="A233" s="656">
        <v>8</v>
      </c>
      <c r="B233" s="441" t="s">
        <v>963</v>
      </c>
      <c r="C233" s="640">
        <v>10000</v>
      </c>
      <c r="D233" s="435">
        <v>10000</v>
      </c>
      <c r="E233" s="735">
        <v>0</v>
      </c>
      <c r="F233" s="437">
        <f t="shared" si="35"/>
        <v>10000</v>
      </c>
      <c r="G233" s="435">
        <f t="shared" si="36"/>
        <v>100</v>
      </c>
      <c r="H233" s="438">
        <f t="shared" si="37"/>
        <v>0</v>
      </c>
      <c r="I233" s="657">
        <f t="shared" si="38"/>
        <v>100</v>
      </c>
    </row>
    <row r="234" spans="1:9">
      <c r="A234" s="656">
        <v>9</v>
      </c>
      <c r="B234" s="441" t="s">
        <v>977</v>
      </c>
      <c r="C234" s="640">
        <v>10000</v>
      </c>
      <c r="D234" s="435">
        <v>10000</v>
      </c>
      <c r="E234" s="735">
        <v>0</v>
      </c>
      <c r="F234" s="437">
        <f t="shared" si="35"/>
        <v>10000</v>
      </c>
      <c r="G234" s="435">
        <f t="shared" si="36"/>
        <v>100</v>
      </c>
      <c r="H234" s="438">
        <f t="shared" si="37"/>
        <v>0</v>
      </c>
      <c r="I234" s="657">
        <f t="shared" si="38"/>
        <v>100</v>
      </c>
    </row>
    <row r="235" spans="1:9">
      <c r="A235" s="656">
        <v>10</v>
      </c>
      <c r="B235" s="441" t="s">
        <v>978</v>
      </c>
      <c r="C235" s="640">
        <v>10000</v>
      </c>
      <c r="D235" s="435">
        <v>10000</v>
      </c>
      <c r="E235" s="735">
        <v>0</v>
      </c>
      <c r="F235" s="437">
        <f t="shared" si="35"/>
        <v>10000</v>
      </c>
      <c r="G235" s="435">
        <f t="shared" si="36"/>
        <v>100</v>
      </c>
      <c r="H235" s="438">
        <f t="shared" si="37"/>
        <v>0</v>
      </c>
      <c r="I235" s="657">
        <f t="shared" si="38"/>
        <v>100</v>
      </c>
    </row>
    <row r="236" spans="1:9">
      <c r="A236" s="656">
        <v>11</v>
      </c>
      <c r="B236" s="441" t="s">
        <v>1082</v>
      </c>
      <c r="C236" s="640">
        <v>10000</v>
      </c>
      <c r="D236" s="435">
        <v>10000</v>
      </c>
      <c r="E236" s="735">
        <f>[3]ยาเสพติดปี66!H148</f>
        <v>0</v>
      </c>
      <c r="F236" s="437">
        <f t="shared" si="35"/>
        <v>10000</v>
      </c>
      <c r="G236" s="435">
        <f t="shared" si="36"/>
        <v>100</v>
      </c>
      <c r="H236" s="438">
        <f t="shared" si="37"/>
        <v>0</v>
      </c>
      <c r="I236" s="657">
        <f t="shared" si="38"/>
        <v>100</v>
      </c>
    </row>
    <row r="237" spans="1:9">
      <c r="A237" s="656">
        <v>12</v>
      </c>
      <c r="B237" s="441" t="s">
        <v>979</v>
      </c>
      <c r="C237" s="640">
        <v>10000</v>
      </c>
      <c r="D237" s="435">
        <f>2730-260+2461</f>
        <v>4931</v>
      </c>
      <c r="E237" s="735">
        <v>2400</v>
      </c>
      <c r="F237" s="437">
        <f>D237+E237-260</f>
        <v>7071</v>
      </c>
      <c r="G237" s="435">
        <f t="shared" si="36"/>
        <v>70.709999999999994</v>
      </c>
      <c r="H237" s="605">
        <f t="shared" si="37"/>
        <v>2669</v>
      </c>
      <c r="I237" s="657">
        <f t="shared" si="38"/>
        <v>73.31</v>
      </c>
    </row>
    <row r="238" spans="1:9">
      <c r="A238" s="656">
        <v>13</v>
      </c>
      <c r="B238" s="441" t="s">
        <v>983</v>
      </c>
      <c r="C238" s="640">
        <v>10000</v>
      </c>
      <c r="D238" s="435">
        <f>2300+7700</f>
        <v>10000</v>
      </c>
      <c r="E238" s="735">
        <v>0</v>
      </c>
      <c r="F238" s="437">
        <f t="shared" si="35"/>
        <v>10000</v>
      </c>
      <c r="G238" s="435">
        <f t="shared" si="36"/>
        <v>100</v>
      </c>
      <c r="H238" s="438">
        <f t="shared" si="37"/>
        <v>0</v>
      </c>
      <c r="I238" s="657">
        <f t="shared" si="38"/>
        <v>100</v>
      </c>
    </row>
    <row r="239" spans="1:9">
      <c r="A239" s="656">
        <v>14</v>
      </c>
      <c r="B239" s="441" t="s">
        <v>981</v>
      </c>
      <c r="C239" s="640">
        <v>10000</v>
      </c>
      <c r="D239" s="435">
        <v>6000</v>
      </c>
      <c r="E239" s="735">
        <v>4000</v>
      </c>
      <c r="F239" s="437">
        <f t="shared" si="35"/>
        <v>10000</v>
      </c>
      <c r="G239" s="435">
        <f t="shared" si="36"/>
        <v>100</v>
      </c>
      <c r="H239" s="605">
        <f t="shared" si="37"/>
        <v>0</v>
      </c>
      <c r="I239" s="657">
        <f t="shared" si="38"/>
        <v>100</v>
      </c>
    </row>
    <row r="240" spans="1:9">
      <c r="A240" s="656">
        <v>15</v>
      </c>
      <c r="B240" s="434" t="s">
        <v>1083</v>
      </c>
      <c r="C240" s="640">
        <v>10000</v>
      </c>
      <c r="D240" s="435">
        <f>6000+4000</f>
        <v>10000</v>
      </c>
      <c r="E240" s="735">
        <v>0</v>
      </c>
      <c r="F240" s="437">
        <f t="shared" si="35"/>
        <v>10000</v>
      </c>
      <c r="G240" s="435">
        <f t="shared" si="36"/>
        <v>100</v>
      </c>
      <c r="H240" s="605">
        <f t="shared" si="37"/>
        <v>0</v>
      </c>
      <c r="I240" s="657">
        <f t="shared" si="38"/>
        <v>100</v>
      </c>
    </row>
    <row r="241" spans="1:9" ht="19.5" thickBot="1">
      <c r="A241" s="663">
        <v>16</v>
      </c>
      <c r="B241" s="591" t="s">
        <v>986</v>
      </c>
      <c r="C241" s="641">
        <v>10000</v>
      </c>
      <c r="D241" s="459">
        <f>3200+6720</f>
        <v>9920</v>
      </c>
      <c r="E241" s="736">
        <v>0</v>
      </c>
      <c r="F241" s="461">
        <f t="shared" si="35"/>
        <v>9920</v>
      </c>
      <c r="G241" s="459">
        <f t="shared" si="36"/>
        <v>99.2</v>
      </c>
      <c r="H241" s="462">
        <f t="shared" si="37"/>
        <v>80</v>
      </c>
      <c r="I241" s="664">
        <f t="shared" si="38"/>
        <v>99.2</v>
      </c>
    </row>
    <row r="242" spans="1:9" ht="19.5" thickBot="1">
      <c r="A242" s="665"/>
      <c r="B242" s="666" t="s">
        <v>66</v>
      </c>
      <c r="C242" s="667">
        <f>SUM(C226:C241)</f>
        <v>160000</v>
      </c>
      <c r="D242" s="668">
        <f>SUM(D226:D241)</f>
        <v>144131</v>
      </c>
      <c r="E242" s="668">
        <f t="shared" ref="E242" si="39">SUM(E226:E241)</f>
        <v>6400</v>
      </c>
      <c r="F242" s="668">
        <f>SUM(F226:F241)</f>
        <v>150271</v>
      </c>
      <c r="G242" s="669">
        <f t="shared" si="36"/>
        <v>93.919375000000002</v>
      </c>
      <c r="H242" s="668">
        <f t="shared" ref="H242" si="40">SUM(H226:H241)</f>
        <v>9469</v>
      </c>
      <c r="I242" s="670">
        <f>(D242+E242)*100/C242</f>
        <v>94.081874999999997</v>
      </c>
    </row>
    <row r="243" spans="1:9">
      <c r="H243" s="857">
        <v>9389</v>
      </c>
    </row>
  </sheetData>
  <mergeCells count="76">
    <mergeCell ref="D205:D207"/>
    <mergeCell ref="H205:H207"/>
    <mergeCell ref="A1:H1"/>
    <mergeCell ref="A2:H2"/>
    <mergeCell ref="A3:H3"/>
    <mergeCell ref="A4:H4"/>
    <mergeCell ref="A5:A7"/>
    <mergeCell ref="B5:B7"/>
    <mergeCell ref="C5:H5"/>
    <mergeCell ref="C6:C7"/>
    <mergeCell ref="D6:E6"/>
    <mergeCell ref="F6:F7"/>
    <mergeCell ref="G6:G7"/>
    <mergeCell ref="H6:H7"/>
    <mergeCell ref="A25:H25"/>
    <mergeCell ref="A26:H26"/>
    <mergeCell ref="A27:H27"/>
    <mergeCell ref="A28:A30"/>
    <mergeCell ref="B28:B30"/>
    <mergeCell ref="C28:H28"/>
    <mergeCell ref="C29:C30"/>
    <mergeCell ref="D29:E29"/>
    <mergeCell ref="F29:F30"/>
    <mergeCell ref="G29:G30"/>
    <mergeCell ref="H29:H30"/>
    <mergeCell ref="D224:E224"/>
    <mergeCell ref="F224:F225"/>
    <mergeCell ref="A219:I219"/>
    <mergeCell ref="A220:I220"/>
    <mergeCell ref="A221:I221"/>
    <mergeCell ref="I224:I225"/>
    <mergeCell ref="C223:I223"/>
    <mergeCell ref="G224:G225"/>
    <mergeCell ref="H224:H225"/>
    <mergeCell ref="A223:A225"/>
    <mergeCell ref="B223:B225"/>
    <mergeCell ref="C224:C225"/>
    <mergeCell ref="G218:H218"/>
    <mergeCell ref="E139:E142"/>
    <mergeCell ref="F139:F142"/>
    <mergeCell ref="G159:G160"/>
    <mergeCell ref="H159:H160"/>
    <mergeCell ref="H139:H142"/>
    <mergeCell ref="K163:O163"/>
    <mergeCell ref="C159:C160"/>
    <mergeCell ref="D159:E159"/>
    <mergeCell ref="F159:F160"/>
    <mergeCell ref="A151:C151"/>
    <mergeCell ref="A49:I49"/>
    <mergeCell ref="D139:D142"/>
    <mergeCell ref="K90:O90"/>
    <mergeCell ref="K91:O91"/>
    <mergeCell ref="A86:H86"/>
    <mergeCell ref="A87:H87"/>
    <mergeCell ref="A88:H88"/>
    <mergeCell ref="A89:H89"/>
    <mergeCell ref="G90:G91"/>
    <mergeCell ref="H90:H91"/>
    <mergeCell ref="A90:A91"/>
    <mergeCell ref="H100:H103"/>
    <mergeCell ref="D177:D180"/>
    <mergeCell ref="H177:H180"/>
    <mergeCell ref="K164:O164"/>
    <mergeCell ref="A68:B68"/>
    <mergeCell ref="A154:H154"/>
    <mergeCell ref="A155:H155"/>
    <mergeCell ref="A156:H156"/>
    <mergeCell ref="A157:H157"/>
    <mergeCell ref="B158:G158"/>
    <mergeCell ref="A159:A160"/>
    <mergeCell ref="B159:B160"/>
    <mergeCell ref="B90:B91"/>
    <mergeCell ref="C90:C91"/>
    <mergeCell ref="D90:E90"/>
    <mergeCell ref="F90:F91"/>
    <mergeCell ref="D100:D103"/>
  </mergeCells>
  <pageMargins left="0.98425196850393704" right="0.70866141732283472" top="0.74803149606299213" bottom="0.74803149606299213" header="0.31496062992125984" footer="0.31496062992125984"/>
  <pageSetup scale="72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topLeftCell="F4" workbookViewId="0">
      <selection activeCell="I18" sqref="I18"/>
    </sheetView>
  </sheetViews>
  <sheetFormatPr defaultRowHeight="14.25"/>
  <cols>
    <col min="1" max="1" width="8.875" bestFit="1" customWidth="1"/>
    <col min="2" max="2" width="18.625" hidden="1" customWidth="1"/>
    <col min="3" max="3" width="21.375" hidden="1" customWidth="1"/>
    <col min="4" max="4" width="16.625" hidden="1" customWidth="1"/>
    <col min="5" max="5" width="21.375" bestFit="1" customWidth="1"/>
    <col min="6" max="6" width="13.25" customWidth="1"/>
    <col min="7" max="7" width="15.75" customWidth="1"/>
    <col min="8" max="8" width="14.125" customWidth="1"/>
    <col min="9" max="15" width="16.375" customWidth="1"/>
    <col min="16" max="17" width="21.375" customWidth="1"/>
    <col min="18" max="18" width="10.75" bestFit="1" customWidth="1"/>
    <col min="19" max="19" width="10.75" customWidth="1"/>
    <col min="20" max="20" width="18.625" bestFit="1" customWidth="1"/>
    <col min="21" max="21" width="21.375" customWidth="1"/>
    <col min="22" max="23" width="18.125" customWidth="1"/>
    <col min="24" max="30" width="21.375" customWidth="1"/>
    <col min="31" max="31" width="16.375" customWidth="1"/>
    <col min="32" max="33" width="18.125" customWidth="1"/>
  </cols>
  <sheetData>
    <row r="1" spans="1:33" ht="18.75">
      <c r="A1" s="57" t="s">
        <v>81</v>
      </c>
      <c r="B1" s="420" t="s">
        <v>1231</v>
      </c>
      <c r="C1" s="273" t="s">
        <v>246</v>
      </c>
      <c r="D1" s="273"/>
      <c r="E1" s="1112" t="s">
        <v>142</v>
      </c>
      <c r="F1" s="1113"/>
      <c r="G1" s="1113"/>
      <c r="H1" s="1113"/>
      <c r="I1" s="1113"/>
      <c r="J1" s="1113"/>
      <c r="K1" s="1113"/>
      <c r="L1" s="1113"/>
      <c r="M1" s="1113"/>
      <c r="N1" s="1113"/>
      <c r="O1" s="1113"/>
      <c r="P1" s="1114"/>
      <c r="Q1" s="263" t="s">
        <v>249</v>
      </c>
      <c r="R1" s="263"/>
      <c r="S1" s="421"/>
      <c r="T1" s="421" t="s">
        <v>138</v>
      </c>
      <c r="U1" s="1115" t="s">
        <v>141</v>
      </c>
      <c r="V1" s="1116"/>
      <c r="W1" s="1116"/>
      <c r="X1" s="1116"/>
      <c r="Y1" s="1116"/>
      <c r="Z1" s="1117"/>
      <c r="AA1" s="149" t="s">
        <v>176</v>
      </c>
      <c r="AB1" s="65" t="s">
        <v>134</v>
      </c>
      <c r="AC1" s="65" t="s">
        <v>134</v>
      </c>
      <c r="AD1" s="65" t="s">
        <v>134</v>
      </c>
      <c r="AE1" s="65" t="s">
        <v>134</v>
      </c>
      <c r="AF1" s="64" t="s">
        <v>134</v>
      </c>
      <c r="AG1" s="64" t="s">
        <v>250</v>
      </c>
    </row>
    <row r="2" spans="1:33" ht="18.75">
      <c r="A2" s="58" t="s">
        <v>82</v>
      </c>
      <c r="B2" s="274"/>
      <c r="C2" s="274" t="s">
        <v>261</v>
      </c>
      <c r="D2" s="274"/>
      <c r="E2" s="1112" t="s">
        <v>181</v>
      </c>
      <c r="F2" s="1113"/>
      <c r="G2" s="1113"/>
      <c r="H2" s="1113"/>
      <c r="I2" s="1113"/>
      <c r="J2" s="1113"/>
      <c r="K2" s="1113"/>
      <c r="L2" s="1113"/>
      <c r="M2" s="1113"/>
      <c r="N2" s="1113"/>
      <c r="O2" s="1113"/>
      <c r="P2" s="1114"/>
      <c r="Q2" s="263" t="s">
        <v>1029</v>
      </c>
      <c r="R2" s="263"/>
      <c r="S2" s="263"/>
      <c r="T2" s="263" t="s">
        <v>139</v>
      </c>
      <c r="U2" s="65" t="s">
        <v>158</v>
      </c>
      <c r="V2" s="65" t="s">
        <v>154</v>
      </c>
      <c r="W2" s="65" t="s">
        <v>154</v>
      </c>
      <c r="X2" s="65" t="s">
        <v>158</v>
      </c>
      <c r="Y2" s="65" t="s">
        <v>157</v>
      </c>
      <c r="Z2" s="65" t="s">
        <v>158</v>
      </c>
      <c r="AA2" s="149" t="s">
        <v>180</v>
      </c>
      <c r="AB2" s="65" t="s">
        <v>136</v>
      </c>
      <c r="AC2" s="65" t="s">
        <v>136</v>
      </c>
      <c r="AD2" s="65" t="s">
        <v>135</v>
      </c>
      <c r="AE2" s="65" t="s">
        <v>135</v>
      </c>
      <c r="AF2" s="65" t="s">
        <v>135</v>
      </c>
      <c r="AG2" s="65"/>
    </row>
    <row r="3" spans="1:33" ht="18.75">
      <c r="A3" s="58" t="s">
        <v>83</v>
      </c>
      <c r="B3" s="58" t="s">
        <v>203</v>
      </c>
      <c r="C3" s="58" t="s">
        <v>1036</v>
      </c>
      <c r="D3" s="58"/>
      <c r="E3" s="190" t="s">
        <v>203</v>
      </c>
      <c r="F3" s="190" t="s">
        <v>203</v>
      </c>
      <c r="G3" s="190" t="s">
        <v>203</v>
      </c>
      <c r="H3" s="190" t="s">
        <v>203</v>
      </c>
      <c r="I3" s="190" t="s">
        <v>236</v>
      </c>
      <c r="J3" s="190" t="s">
        <v>236</v>
      </c>
      <c r="K3" s="190" t="s">
        <v>236</v>
      </c>
      <c r="L3" s="190" t="s">
        <v>236</v>
      </c>
      <c r="M3" s="190" t="s">
        <v>236</v>
      </c>
      <c r="N3" s="190" t="s">
        <v>236</v>
      </c>
      <c r="O3" s="190" t="s">
        <v>236</v>
      </c>
      <c r="P3" s="190" t="s">
        <v>237</v>
      </c>
      <c r="Q3" s="264" t="s">
        <v>236</v>
      </c>
      <c r="R3" s="264" t="s">
        <v>236</v>
      </c>
      <c r="S3" s="264" t="s">
        <v>1036</v>
      </c>
      <c r="T3" s="264" t="s">
        <v>1210</v>
      </c>
      <c r="U3" s="58" t="s">
        <v>1020</v>
      </c>
      <c r="V3" s="58" t="s">
        <v>1210</v>
      </c>
      <c r="W3" s="58" t="s">
        <v>1020</v>
      </c>
      <c r="X3" s="58" t="s">
        <v>1210</v>
      </c>
      <c r="Y3" s="58" t="s">
        <v>1036</v>
      </c>
      <c r="Z3" s="58" t="s">
        <v>1210</v>
      </c>
      <c r="AA3" s="58" t="s">
        <v>1020</v>
      </c>
      <c r="AB3" s="58" t="s">
        <v>1210</v>
      </c>
      <c r="AC3" s="58" t="s">
        <v>1036</v>
      </c>
      <c r="AD3" s="58" t="s">
        <v>1020</v>
      </c>
      <c r="AE3" s="65" t="s">
        <v>1210</v>
      </c>
      <c r="AF3" s="65" t="s">
        <v>1036</v>
      </c>
      <c r="AG3" s="65" t="s">
        <v>1020</v>
      </c>
    </row>
    <row r="4" spans="1:33" s="150" customFormat="1" ht="37.5">
      <c r="A4" s="149" t="s">
        <v>84</v>
      </c>
      <c r="B4" s="149" t="s">
        <v>205</v>
      </c>
      <c r="C4" s="149" t="s">
        <v>1037</v>
      </c>
      <c r="D4" s="149"/>
      <c r="E4" s="191" t="s">
        <v>205</v>
      </c>
      <c r="F4" s="191" t="s">
        <v>206</v>
      </c>
      <c r="G4" s="191" t="s">
        <v>208</v>
      </c>
      <c r="H4" s="192" t="s">
        <v>207</v>
      </c>
      <c r="I4" s="192" t="s">
        <v>239</v>
      </c>
      <c r="J4" s="192" t="s">
        <v>240</v>
      </c>
      <c r="K4" s="192" t="s">
        <v>242</v>
      </c>
      <c r="L4" s="192" t="s">
        <v>241</v>
      </c>
      <c r="M4" s="192" t="s">
        <v>243</v>
      </c>
      <c r="N4" s="192" t="s">
        <v>1030</v>
      </c>
      <c r="O4" s="192" t="s">
        <v>275</v>
      </c>
      <c r="P4" s="192" t="s">
        <v>238</v>
      </c>
      <c r="Q4" s="265" t="s">
        <v>1031</v>
      </c>
      <c r="R4" s="265" t="s">
        <v>1031</v>
      </c>
      <c r="S4" s="265" t="s">
        <v>1252</v>
      </c>
      <c r="T4" s="265" t="s">
        <v>1209</v>
      </c>
      <c r="U4" s="149" t="s">
        <v>1021</v>
      </c>
      <c r="V4" s="149" t="s">
        <v>1209</v>
      </c>
      <c r="W4" s="149" t="s">
        <v>1212</v>
      </c>
      <c r="X4" s="149" t="s">
        <v>1209</v>
      </c>
      <c r="Y4" s="149" t="s">
        <v>1252</v>
      </c>
      <c r="Z4" s="149" t="s">
        <v>1211</v>
      </c>
      <c r="AA4" s="149" t="s">
        <v>1022</v>
      </c>
      <c r="AB4" s="149" t="s">
        <v>1211</v>
      </c>
      <c r="AC4" s="149" t="s">
        <v>1253</v>
      </c>
      <c r="AD4" s="149" t="s">
        <v>1212</v>
      </c>
      <c r="AE4" s="149" t="s">
        <v>1258</v>
      </c>
      <c r="AF4" s="149" t="s">
        <v>1364</v>
      </c>
      <c r="AG4" s="149" t="s">
        <v>1212</v>
      </c>
    </row>
    <row r="5" spans="1:33" s="85" customFormat="1" ht="21">
      <c r="A5" s="204" t="s">
        <v>85</v>
      </c>
      <c r="B5" s="204">
        <v>8743730</v>
      </c>
      <c r="C5" s="204">
        <v>1093400</v>
      </c>
      <c r="D5" s="204"/>
      <c r="E5" s="368">
        <f>งบประมาณกิจกรรม!D86+งบประมาณกิจกรรม!D88</f>
        <v>122176</v>
      </c>
      <c r="F5" s="368">
        <f>งบประมาณกิจกรรม!D89</f>
        <v>128180</v>
      </c>
      <c r="G5" s="368">
        <f>งบประมาณกิจกรรม!D87+งบประมาณกิจกรรม!D90</f>
        <v>15696</v>
      </c>
      <c r="H5" s="368">
        <f>งบประมาณกิจกรรม!D93</f>
        <v>16116</v>
      </c>
      <c r="I5" s="1106">
        <f>+งบประมาณกิจกรรม!D73+งบประมาณกิจกรรม!D74</f>
        <v>15330200</v>
      </c>
      <c r="J5" s="1107"/>
      <c r="K5" s="1108"/>
      <c r="L5" s="368">
        <v>60000</v>
      </c>
      <c r="M5" s="369">
        <v>63000</v>
      </c>
      <c r="N5" s="370">
        <f>+งบประมาณกิจกรรม!D98+12375605</f>
        <v>24751204</v>
      </c>
      <c r="O5" s="369">
        <v>240000</v>
      </c>
      <c r="P5" s="369">
        <f>67700+49900</f>
        <v>117600</v>
      </c>
      <c r="Q5" s="371">
        <v>142000</v>
      </c>
      <c r="R5" s="371"/>
      <c r="S5" s="371"/>
      <c r="T5" s="371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372"/>
      <c r="AF5" s="204"/>
      <c r="AG5" s="204">
        <v>80000</v>
      </c>
    </row>
    <row r="6" spans="1:33" ht="18.75">
      <c r="A6" s="59" t="s">
        <v>86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18.75">
      <c r="A7" s="60">
        <v>242797</v>
      </c>
      <c r="B7" s="61">
        <f>759530+736660</f>
        <v>1496190</v>
      </c>
      <c r="C7" s="61"/>
      <c r="D7" s="275"/>
      <c r="E7" s="61">
        <v>15272</v>
      </c>
      <c r="F7" s="61">
        <v>16022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</row>
    <row r="8" spans="1:33" ht="18.75">
      <c r="A8" s="60">
        <v>242828</v>
      </c>
      <c r="B8" s="61">
        <f>759530+736660</f>
        <v>1496190</v>
      </c>
      <c r="C8" s="61"/>
      <c r="D8" s="275"/>
      <c r="E8" s="61">
        <v>15272</v>
      </c>
      <c r="F8" s="61">
        <v>16022</v>
      </c>
      <c r="G8" s="61"/>
      <c r="H8" s="61"/>
      <c r="I8" s="61">
        <v>4162241.13</v>
      </c>
      <c r="J8" s="61">
        <v>556000</v>
      </c>
      <c r="K8" s="61">
        <v>145500</v>
      </c>
      <c r="L8" s="61">
        <v>20000</v>
      </c>
      <c r="M8" s="61">
        <v>21000</v>
      </c>
      <c r="N8" s="61"/>
      <c r="O8" s="61">
        <f>10000+70000</f>
        <v>80000</v>
      </c>
      <c r="P8" s="61">
        <f>3800+12000</f>
        <v>15800</v>
      </c>
      <c r="Q8" s="61"/>
      <c r="R8" s="61"/>
      <c r="S8" s="61"/>
      <c r="T8" s="61"/>
      <c r="U8" s="61"/>
      <c r="V8" s="61"/>
      <c r="W8" s="61"/>
      <c r="X8" s="61"/>
      <c r="Y8" s="61"/>
      <c r="Z8" s="61"/>
      <c r="AA8" s="61">
        <f>10507+10747.08+21217.03+5219.46+106204.87+6343+1070+747.93+3484.11</f>
        <v>165540.47999999998</v>
      </c>
      <c r="AB8" s="61"/>
      <c r="AC8" s="61"/>
      <c r="AD8" s="61"/>
      <c r="AE8" s="61"/>
      <c r="AF8" s="61"/>
      <c r="AG8" s="61"/>
    </row>
    <row r="9" spans="1:33" ht="18.75">
      <c r="A9" s="60">
        <v>242858</v>
      </c>
      <c r="B9" s="61">
        <f>787490+768540+55920+63760</f>
        <v>1675710</v>
      </c>
      <c r="C9" s="61">
        <f>129900+2100+63200</f>
        <v>195200</v>
      </c>
      <c r="D9" s="275"/>
      <c r="E9" s="61">
        <v>15272</v>
      </c>
      <c r="F9" s="61">
        <v>16022</v>
      </c>
      <c r="G9" s="61"/>
      <c r="H9" s="61"/>
      <c r="I9" s="61">
        <v>2064806</v>
      </c>
      <c r="J9" s="61">
        <f>275500-3000</f>
        <v>272500</v>
      </c>
      <c r="K9" s="61">
        <v>76500</v>
      </c>
      <c r="L9" s="61">
        <v>10000</v>
      </c>
      <c r="M9" s="61">
        <v>10500</v>
      </c>
      <c r="N9" s="61">
        <v>3730100</v>
      </c>
      <c r="O9" s="61">
        <f>35000+5000</f>
        <v>40000</v>
      </c>
      <c r="P9" s="61">
        <f>6000+3800</f>
        <v>9800</v>
      </c>
      <c r="Q9" s="61"/>
      <c r="R9" s="61">
        <v>15000</v>
      </c>
      <c r="S9" s="61"/>
      <c r="T9" s="61"/>
      <c r="U9" s="61">
        <v>1920</v>
      </c>
      <c r="V9" s="61"/>
      <c r="W9" s="61"/>
      <c r="X9" s="61"/>
      <c r="Y9" s="61"/>
      <c r="Z9" s="61"/>
      <c r="AA9" s="61">
        <f>1535.45+21130.9+1070+747.93+7650.5+111392.06+10747.08+5247.28+90.95+90.95+3495.7+747.93+1070+21206.87+10747.08+7650.5</f>
        <v>204621.18</v>
      </c>
      <c r="AB9" s="61"/>
      <c r="AC9" s="61"/>
      <c r="AD9" s="61"/>
      <c r="AE9" s="61"/>
      <c r="AF9" s="61"/>
      <c r="AG9" s="61"/>
    </row>
    <row r="10" spans="1:33" ht="18.75">
      <c r="A10" s="60">
        <v>242889</v>
      </c>
      <c r="B10" s="61">
        <f>787490+768540</f>
        <v>1556030</v>
      </c>
      <c r="C10" s="61">
        <f>2100+24000</f>
        <v>26100</v>
      </c>
      <c r="D10" s="275"/>
      <c r="E10" s="61">
        <v>25500</v>
      </c>
      <c r="F10" s="61">
        <v>26821</v>
      </c>
      <c r="G10" s="61"/>
      <c r="H10" s="61">
        <v>15400</v>
      </c>
      <c r="I10" s="61">
        <v>2059903</v>
      </c>
      <c r="J10" s="61">
        <v>275500</v>
      </c>
      <c r="K10" s="61">
        <v>76500</v>
      </c>
      <c r="L10" s="61">
        <v>10000</v>
      </c>
      <c r="M10" s="61">
        <v>10500</v>
      </c>
      <c r="N10" s="61">
        <v>1868200</v>
      </c>
      <c r="O10" s="61">
        <f>35000+5000</f>
        <v>40000</v>
      </c>
      <c r="P10" s="61">
        <f>6000+3800</f>
        <v>9800</v>
      </c>
      <c r="Q10" s="61">
        <v>14700</v>
      </c>
      <c r="R10" s="61"/>
      <c r="S10" s="61"/>
      <c r="T10" s="61"/>
      <c r="U10" s="61">
        <f>1800+1800</f>
        <v>3600</v>
      </c>
      <c r="V10" s="61"/>
      <c r="W10" s="61"/>
      <c r="X10" s="61">
        <f>3900+2600</f>
        <v>6500</v>
      </c>
      <c r="Y10" s="61"/>
      <c r="Z10" s="61">
        <v>1300</v>
      </c>
      <c r="AA10" s="61">
        <f>100794.62+5307.79+11025.71+9966+8639+7650.5+10747.08+90.95+3333.05+747.93+1070+21263.58</f>
        <v>180636.20999999996</v>
      </c>
      <c r="AB10" s="61">
        <f>5300+3300</f>
        <v>8600</v>
      </c>
      <c r="AC10" s="61">
        <v>10900</v>
      </c>
      <c r="AD10" s="61">
        <f>3000+2000+10700</f>
        <v>15700</v>
      </c>
      <c r="AE10" s="61">
        <v>2600</v>
      </c>
      <c r="AF10" s="61"/>
      <c r="AG10" s="61"/>
    </row>
    <row r="11" spans="1:33" ht="18.75">
      <c r="A11" s="60">
        <v>242920</v>
      </c>
      <c r="B11" s="61">
        <f>767970+768540</f>
        <v>1536510</v>
      </c>
      <c r="C11" s="61">
        <f>13600+2100+2100+25000+9600</f>
        <v>52400</v>
      </c>
      <c r="D11" s="275"/>
      <c r="E11" s="61">
        <v>25500</v>
      </c>
      <c r="F11" s="61">
        <v>26071</v>
      </c>
      <c r="G11" s="61"/>
      <c r="H11" s="61"/>
      <c r="I11" s="61">
        <v>2059500</v>
      </c>
      <c r="J11" s="61">
        <v>279112.90000000002</v>
      </c>
      <c r="K11" s="61">
        <v>76500</v>
      </c>
      <c r="L11" s="61">
        <v>10000</v>
      </c>
      <c r="M11" s="61">
        <v>10500</v>
      </c>
      <c r="N11" s="61">
        <f>1885600-400</f>
        <v>1885200</v>
      </c>
      <c r="O11" s="61">
        <f>35000+5000</f>
        <v>40000</v>
      </c>
      <c r="P11" s="61">
        <f>6000+3800</f>
        <v>9800</v>
      </c>
      <c r="Q11" s="61">
        <v>14700</v>
      </c>
      <c r="R11" s="61"/>
      <c r="S11" s="61"/>
      <c r="T11" s="61">
        <v>1400</v>
      </c>
      <c r="U11" s="61">
        <v>26000</v>
      </c>
      <c r="V11" s="61">
        <f>3800+6500</f>
        <v>10300</v>
      </c>
      <c r="W11" s="61"/>
      <c r="X11" s="61">
        <f>2600+2200</f>
        <v>4800</v>
      </c>
      <c r="Y11" s="61">
        <f>16000+18400</f>
        <v>34400</v>
      </c>
      <c r="Z11" s="61"/>
      <c r="AA11" s="61">
        <f>5188.27+96580.06+10747.08+8186+105.93+3333.06+747.93+1070+21159.25+7650.5+5226.04+103230.24+4822.05+5406.62+7979</f>
        <v>281432.02999999997</v>
      </c>
      <c r="AB11" s="61">
        <v>8210</v>
      </c>
      <c r="AC11" s="61"/>
      <c r="AD11" s="61"/>
      <c r="AE11" s="61"/>
      <c r="AF11" s="61"/>
      <c r="AG11" s="61"/>
    </row>
    <row r="12" spans="1:33" ht="18.75">
      <c r="A12" s="60">
        <v>242948</v>
      </c>
      <c r="B12" s="61"/>
      <c r="C12" s="61">
        <f>24000+2100+1750+10200+3500+96000</f>
        <v>137550</v>
      </c>
      <c r="D12" s="275"/>
      <c r="E12" s="61">
        <f>25500</f>
        <v>25500</v>
      </c>
      <c r="F12" s="61">
        <v>26071</v>
      </c>
      <c r="G12" s="61"/>
      <c r="H12" s="61"/>
      <c r="I12" s="61">
        <v>2089854</v>
      </c>
      <c r="J12" s="61">
        <v>276500</v>
      </c>
      <c r="K12" s="61">
        <v>76500</v>
      </c>
      <c r="L12" s="61">
        <v>10000</v>
      </c>
      <c r="M12" s="61">
        <v>10500</v>
      </c>
      <c r="N12" s="61">
        <f>1884000+9649279.62-2800</f>
        <v>11530479.619999999</v>
      </c>
      <c r="O12" s="61">
        <f>30000+5000</f>
        <v>35000</v>
      </c>
      <c r="P12" s="61">
        <f>3800+6000</f>
        <v>9800</v>
      </c>
      <c r="Q12" s="61">
        <v>4200</v>
      </c>
      <c r="R12" s="61"/>
      <c r="S12" s="61">
        <v>2600</v>
      </c>
      <c r="T12" s="61">
        <f>5200+6500</f>
        <v>11700</v>
      </c>
      <c r="U12" s="61">
        <f>14400-24920</f>
        <v>-10520</v>
      </c>
      <c r="V12" s="61">
        <v>37360</v>
      </c>
      <c r="W12" s="61"/>
      <c r="X12" s="61"/>
      <c r="Y12" s="61"/>
      <c r="Z12" s="61"/>
      <c r="AA12" s="61">
        <f>14637.6+2235.23+173.88+1070+747.93+21160.32+5387.66+7650.5+10747.08</f>
        <v>63810.200000000012</v>
      </c>
      <c r="AB12" s="61"/>
      <c r="AC12" s="61"/>
      <c r="AD12" s="61"/>
      <c r="AE12" s="61">
        <f>2600+3250</f>
        <v>5850</v>
      </c>
      <c r="AF12" s="61"/>
      <c r="AG12" s="61"/>
    </row>
    <row r="13" spans="1:33" ht="18.75">
      <c r="A13" s="60">
        <v>242979</v>
      </c>
      <c r="B13" s="61"/>
      <c r="C13" s="61">
        <f>1000+35000+12000+48000+4800+50000+2100</f>
        <v>152900</v>
      </c>
      <c r="D13" s="275"/>
      <c r="E13" s="61">
        <v>27750</v>
      </c>
      <c r="F13" s="61">
        <v>26821</v>
      </c>
      <c r="G13" s="61"/>
      <c r="H13" s="61">
        <v>5577</v>
      </c>
      <c r="I13" s="61">
        <v>2038000</v>
      </c>
      <c r="J13" s="61">
        <v>276500</v>
      </c>
      <c r="K13" s="61">
        <v>76500</v>
      </c>
      <c r="L13" s="61">
        <v>10000</v>
      </c>
      <c r="M13" s="61">
        <v>10500</v>
      </c>
      <c r="N13" s="61">
        <v>4460384.07</v>
      </c>
      <c r="O13" s="61">
        <f>30000+5000</f>
        <v>35000</v>
      </c>
      <c r="P13" s="61">
        <f>3800+6000</f>
        <v>9800</v>
      </c>
      <c r="Q13" s="61">
        <v>4500</v>
      </c>
      <c r="R13" s="61"/>
      <c r="S13" s="61">
        <v>2600</v>
      </c>
      <c r="T13" s="61">
        <f>2600+16200</f>
        <v>18800</v>
      </c>
      <c r="U13" s="61">
        <v>1800</v>
      </c>
      <c r="V13" s="61">
        <v>2600</v>
      </c>
      <c r="W13" s="61">
        <f>12800</f>
        <v>12800</v>
      </c>
      <c r="X13" s="61">
        <v>3000</v>
      </c>
      <c r="Y13" s="61"/>
      <c r="Z13" s="61">
        <v>1800</v>
      </c>
      <c r="AA13" s="61">
        <v>6260.53</v>
      </c>
      <c r="AB13" s="61"/>
      <c r="AC13" s="61">
        <v>8000</v>
      </c>
      <c r="AD13" s="61"/>
      <c r="AE13" s="61"/>
      <c r="AF13" s="61">
        <v>6650</v>
      </c>
      <c r="AG13" s="61">
        <v>40100</v>
      </c>
    </row>
    <row r="14" spans="1:33" ht="18.75">
      <c r="A14" s="60">
        <v>243009</v>
      </c>
      <c r="B14" s="61"/>
      <c r="C14" s="61">
        <v>6300</v>
      </c>
      <c r="D14" s="275"/>
      <c r="E14" s="61">
        <v>27750</v>
      </c>
      <c r="F14" s="61">
        <v>26071</v>
      </c>
      <c r="G14" s="61"/>
      <c r="H14" s="61"/>
      <c r="I14" s="61">
        <f>2054214-3036-5000</f>
        <v>2046178</v>
      </c>
      <c r="J14" s="61">
        <v>272500</v>
      </c>
      <c r="K14" s="61">
        <v>68500</v>
      </c>
      <c r="L14" s="61">
        <v>8500</v>
      </c>
      <c r="M14" s="61">
        <v>10500</v>
      </c>
      <c r="N14" s="61">
        <v>1030908.01</v>
      </c>
      <c r="O14" s="61">
        <f>20000+5000</f>
        <v>25000</v>
      </c>
      <c r="P14" s="61">
        <f>6000+3800</f>
        <v>9800</v>
      </c>
      <c r="Q14" s="61">
        <v>14850</v>
      </c>
      <c r="R14" s="61"/>
      <c r="S14" s="61"/>
      <c r="T14" s="61">
        <f>70400+6500+8200+600</f>
        <v>85700</v>
      </c>
      <c r="U14" s="61"/>
      <c r="V14" s="61"/>
      <c r="W14" s="61">
        <f>9060-3840</f>
        <v>5220</v>
      </c>
      <c r="X14" s="61"/>
      <c r="Y14" s="61"/>
      <c r="Z14" s="61"/>
      <c r="AA14" s="61">
        <f>10747.08+7650.5+7187+7945.4+2347.05+181.9+747.93+1070+21205.26+3351.35</f>
        <v>62433.470000000008</v>
      </c>
      <c r="AB14" s="61">
        <v>19250</v>
      </c>
      <c r="AC14" s="61"/>
      <c r="AD14" s="61"/>
      <c r="AE14" s="61">
        <v>450</v>
      </c>
      <c r="AF14" s="61"/>
      <c r="AG14" s="61"/>
    </row>
    <row r="15" spans="1:33" ht="18.75">
      <c r="A15" s="60">
        <v>243040</v>
      </c>
      <c r="B15" s="61"/>
      <c r="C15" s="61">
        <v>9600</v>
      </c>
      <c r="D15" s="275"/>
      <c r="E15" s="61">
        <v>27000</v>
      </c>
      <c r="F15" s="61">
        <v>26071</v>
      </c>
      <c r="G15" s="61"/>
      <c r="H15" s="61"/>
      <c r="I15" s="61">
        <v>2037422</v>
      </c>
      <c r="J15" s="61">
        <v>276000</v>
      </c>
      <c r="K15" s="61">
        <v>67500</v>
      </c>
      <c r="L15" s="61">
        <v>8500</v>
      </c>
      <c r="M15" s="61">
        <v>10500</v>
      </c>
      <c r="N15" s="61">
        <v>245981.93</v>
      </c>
      <c r="O15" s="61">
        <f>20000+5000</f>
        <v>25000</v>
      </c>
      <c r="P15" s="61">
        <f>6000+3800</f>
        <v>9800</v>
      </c>
      <c r="Q15" s="61">
        <v>42900</v>
      </c>
      <c r="R15" s="61"/>
      <c r="S15" s="61"/>
      <c r="T15" s="61"/>
      <c r="U15" s="61"/>
      <c r="V15" s="61"/>
      <c r="W15" s="61"/>
      <c r="X15" s="61"/>
      <c r="Y15" s="61"/>
      <c r="Z15" s="61"/>
      <c r="AA15" s="61">
        <f>7650.5+10747.08+230.05+7420.48+747.93+20163.34+1070</f>
        <v>48029.380000000005</v>
      </c>
      <c r="AB15" s="61"/>
      <c r="AC15" s="61"/>
      <c r="AD15" s="61">
        <v>-4000</v>
      </c>
      <c r="AE15" s="61"/>
      <c r="AF15" s="61"/>
      <c r="AG15" s="61"/>
    </row>
    <row r="16" spans="1:33" ht="18.75">
      <c r="A16" s="60">
        <v>243070</v>
      </c>
      <c r="B16" s="61"/>
      <c r="C16" s="61"/>
      <c r="D16" s="275"/>
      <c r="E16" s="61">
        <v>25500</v>
      </c>
      <c r="F16" s="61">
        <v>28321</v>
      </c>
      <c r="G16" s="61"/>
      <c r="H16" s="61"/>
      <c r="I16" s="61">
        <f>2264849.87-7500-7500-500-500</f>
        <v>2248849.87</v>
      </c>
      <c r="J16" s="61">
        <f>286500-1000-1000</f>
        <v>284500</v>
      </c>
      <c r="K16" s="61">
        <v>67500</v>
      </c>
      <c r="L16" s="61">
        <v>8500</v>
      </c>
      <c r="M16" s="61">
        <v>9000</v>
      </c>
      <c r="N16" s="61">
        <v>-49.63</v>
      </c>
      <c r="O16" s="61">
        <v>25000</v>
      </c>
      <c r="P16" s="61">
        <f>3800+6000</f>
        <v>9800</v>
      </c>
      <c r="Q16" s="61">
        <v>16650</v>
      </c>
      <c r="R16" s="61"/>
      <c r="S16" s="61"/>
      <c r="T16" s="61"/>
      <c r="U16" s="61"/>
      <c r="V16" s="61"/>
      <c r="W16" s="61"/>
      <c r="X16" s="61"/>
      <c r="Y16" s="61"/>
      <c r="Z16" s="61"/>
      <c r="AA16" s="61">
        <f>7694.4+189.93+535+1170.36+122503.73+147983.43+123882.09+133083.85+10747.08+7650.5+7266+6130+3414.37+3414.38+3207+2910.17</f>
        <v>581782.28999999992</v>
      </c>
      <c r="AB16" s="61"/>
      <c r="AC16" s="61"/>
      <c r="AD16" s="61">
        <v>12062</v>
      </c>
      <c r="AE16" s="61"/>
      <c r="AF16" s="61"/>
      <c r="AG16" s="61">
        <f>20000-600</f>
        <v>19400</v>
      </c>
    </row>
    <row r="17" spans="1:33" s="556" customFormat="1" ht="18.75">
      <c r="A17" s="553">
        <v>243101</v>
      </c>
      <c r="B17" s="554"/>
      <c r="C17" s="554"/>
      <c r="D17" s="555"/>
      <c r="E17" s="554">
        <v>25500</v>
      </c>
      <c r="F17" s="554">
        <v>27654</v>
      </c>
      <c r="G17" s="554"/>
      <c r="H17" s="554"/>
      <c r="I17" s="554">
        <v>2195055.67</v>
      </c>
      <c r="J17" s="554">
        <v>287500</v>
      </c>
      <c r="K17" s="554">
        <v>67500</v>
      </c>
      <c r="L17" s="554">
        <v>18100</v>
      </c>
      <c r="M17" s="554">
        <v>9000</v>
      </c>
      <c r="N17" s="554"/>
      <c r="O17" s="554">
        <f>20000+5000</f>
        <v>25000</v>
      </c>
      <c r="P17" s="554">
        <f>6000+3800</f>
        <v>9800</v>
      </c>
      <c r="Q17" s="554">
        <v>13650</v>
      </c>
      <c r="R17" s="554"/>
      <c r="S17" s="554"/>
      <c r="T17" s="554"/>
      <c r="U17" s="554"/>
      <c r="V17" s="554"/>
      <c r="W17" s="554"/>
      <c r="X17" s="554"/>
      <c r="Y17" s="554"/>
      <c r="Z17" s="554"/>
      <c r="AA17" s="554">
        <f>9342+6955+1016.5+6834.63+18960.51+21251.31+7500.37+2424.62+535+6735+1016.5+6955+1091.4+535+21617.21</f>
        <v>112770.04999999999</v>
      </c>
      <c r="AB17" s="554"/>
      <c r="AC17" s="554"/>
      <c r="AD17" s="554"/>
      <c r="AE17" s="554"/>
      <c r="AF17" s="554"/>
      <c r="AG17" s="554"/>
    </row>
    <row r="18" spans="1:33" ht="18.75">
      <c r="A18" s="60">
        <v>243132</v>
      </c>
      <c r="B18" s="61"/>
      <c r="C18" s="61">
        <f>+ยาเสพติด!D47+ยาเสพติด!D24</f>
        <v>409295</v>
      </c>
      <c r="D18" s="275"/>
      <c r="E18" s="61"/>
      <c r="F18" s="61"/>
      <c r="G18" s="61"/>
      <c r="H18" s="61"/>
      <c r="I18" s="61">
        <f>2226941.92-5000</f>
        <v>2221941.92</v>
      </c>
      <c r="J18" s="61">
        <v>291000</v>
      </c>
      <c r="K18" s="61">
        <v>77500</v>
      </c>
      <c r="L18" s="61"/>
      <c r="M18" s="61"/>
      <c r="N18" s="61"/>
      <c r="O18" s="61">
        <f>40000+5000</f>
        <v>45000</v>
      </c>
      <c r="P18" s="61">
        <f>6000+3800+3800</f>
        <v>13600</v>
      </c>
      <c r="Q18" s="61">
        <v>850</v>
      </c>
      <c r="R18" s="61"/>
      <c r="S18" s="61"/>
      <c r="T18" s="61"/>
      <c r="U18" s="61"/>
      <c r="V18" s="61"/>
      <c r="W18" s="61"/>
      <c r="X18" s="61"/>
      <c r="Y18" s="61"/>
      <c r="Z18" s="61"/>
      <c r="AA18" s="61">
        <v>93571.780000000304</v>
      </c>
      <c r="AB18" s="61"/>
      <c r="AC18" s="61"/>
      <c r="AD18" s="61"/>
      <c r="AE18" s="61"/>
      <c r="AF18" s="61"/>
      <c r="AG18" s="61"/>
    </row>
    <row r="19" spans="1:33" ht="18.75">
      <c r="A19" s="62" t="s">
        <v>62</v>
      </c>
      <c r="B19" s="63">
        <f>SUM(B6:B18)</f>
        <v>7760630</v>
      </c>
      <c r="C19" s="63">
        <f>SUM(C6:C18)</f>
        <v>989345</v>
      </c>
      <c r="D19" s="63">
        <f>SUM(D6:D18)</f>
        <v>0</v>
      </c>
      <c r="E19" s="63">
        <f>SUM(E6:E18)</f>
        <v>255816</v>
      </c>
      <c r="F19" s="63">
        <f>SUM(F6:F18)</f>
        <v>261967</v>
      </c>
      <c r="G19" s="63">
        <f t="shared" ref="G19:AF19" si="0">SUM(G6:G18)</f>
        <v>0</v>
      </c>
      <c r="H19" s="63">
        <f t="shared" ref="H19:N19" si="1">SUM(H6:H18)</f>
        <v>20977</v>
      </c>
      <c r="I19" s="63">
        <f t="shared" si="1"/>
        <v>25223751.590000004</v>
      </c>
      <c r="J19" s="63">
        <f t="shared" si="1"/>
        <v>3347612.9</v>
      </c>
      <c r="K19" s="63">
        <f t="shared" si="1"/>
        <v>876500</v>
      </c>
      <c r="L19" s="63">
        <f t="shared" si="1"/>
        <v>113600</v>
      </c>
      <c r="M19" s="63">
        <f t="shared" si="1"/>
        <v>112500</v>
      </c>
      <c r="N19" s="63">
        <f t="shared" si="1"/>
        <v>24751204</v>
      </c>
      <c r="O19" s="63">
        <f t="shared" ref="O19:S19" si="2">SUM(O6:O18)</f>
        <v>415000</v>
      </c>
      <c r="P19" s="63">
        <f t="shared" si="2"/>
        <v>117600</v>
      </c>
      <c r="Q19" s="63">
        <f t="shared" si="2"/>
        <v>127000</v>
      </c>
      <c r="R19" s="63">
        <f t="shared" si="2"/>
        <v>15000</v>
      </c>
      <c r="S19" s="63">
        <f t="shared" si="2"/>
        <v>5200</v>
      </c>
      <c r="T19" s="63">
        <f>SUM(T6:T18)</f>
        <v>117600</v>
      </c>
      <c r="U19" s="63">
        <f t="shared" si="0"/>
        <v>22800</v>
      </c>
      <c r="V19" s="63">
        <f t="shared" ref="V19:W19" si="3">SUM(V6:V18)</f>
        <v>50260</v>
      </c>
      <c r="W19" s="63">
        <f t="shared" si="3"/>
        <v>18020</v>
      </c>
      <c r="X19" s="63">
        <f t="shared" si="0"/>
        <v>14300</v>
      </c>
      <c r="Y19" s="63">
        <f t="shared" ref="Y19" si="4">SUM(Y6:Y18)</f>
        <v>34400</v>
      </c>
      <c r="Z19" s="63">
        <f t="shared" ref="Z19" si="5">SUM(Z6:Z18)</f>
        <v>3100</v>
      </c>
      <c r="AA19" s="63">
        <f>SUM(AA6:AA18)</f>
        <v>1800887.6</v>
      </c>
      <c r="AB19" s="63">
        <f t="shared" ref="AB19:AC19" si="6">SUM(AB6:AB18)</f>
        <v>36060</v>
      </c>
      <c r="AC19" s="63">
        <f t="shared" si="6"/>
        <v>18900</v>
      </c>
      <c r="AD19" s="63">
        <f t="shared" si="0"/>
        <v>23762</v>
      </c>
      <c r="AE19" s="63">
        <f t="shared" si="0"/>
        <v>8900</v>
      </c>
      <c r="AF19" s="63">
        <f t="shared" si="0"/>
        <v>6650</v>
      </c>
      <c r="AG19" s="63">
        <f t="shared" ref="AG19" si="7">SUM(AG6:AG18)</f>
        <v>59500</v>
      </c>
    </row>
    <row r="20" spans="1:33" ht="18.75">
      <c r="A20" s="62" t="s">
        <v>63</v>
      </c>
      <c r="B20" s="63">
        <f t="shared" ref="B20" si="8">B5-B19</f>
        <v>983100</v>
      </c>
      <c r="C20" s="63">
        <f t="shared" ref="C20:H20" si="9">C5-C19</f>
        <v>104055</v>
      </c>
      <c r="D20" s="63">
        <f t="shared" si="9"/>
        <v>0</v>
      </c>
      <c r="E20" s="63">
        <f t="shared" si="9"/>
        <v>-133640</v>
      </c>
      <c r="F20" s="63">
        <f t="shared" si="9"/>
        <v>-133787</v>
      </c>
      <c r="G20" s="63">
        <f t="shared" si="9"/>
        <v>15696</v>
      </c>
      <c r="H20" s="63">
        <f t="shared" si="9"/>
        <v>-4861</v>
      </c>
      <c r="I20" s="1109">
        <f>I5-I19-J19-K19</f>
        <v>-14117664.490000004</v>
      </c>
      <c r="J20" s="1110"/>
      <c r="K20" s="1111"/>
      <c r="L20" s="63">
        <f t="shared" ref="L20:AA20" si="10">L5-L19</f>
        <v>-53600</v>
      </c>
      <c r="M20" s="63">
        <f t="shared" si="10"/>
        <v>-49500</v>
      </c>
      <c r="N20" s="63">
        <f t="shared" si="10"/>
        <v>0</v>
      </c>
      <c r="O20" s="63">
        <f t="shared" si="10"/>
        <v>-175000</v>
      </c>
      <c r="P20" s="63">
        <f t="shared" si="10"/>
        <v>0</v>
      </c>
      <c r="Q20" s="1109">
        <f>Q5-Q19-R19</f>
        <v>0</v>
      </c>
      <c r="R20" s="1111"/>
      <c r="S20" s="63"/>
      <c r="T20" s="63"/>
      <c r="U20" s="63">
        <f t="shared" si="10"/>
        <v>-22800</v>
      </c>
      <c r="V20" s="63">
        <f t="shared" ref="V20" si="11">V5-V19</f>
        <v>-50260</v>
      </c>
      <c r="W20" s="63"/>
      <c r="X20" s="63"/>
      <c r="Y20" s="63"/>
      <c r="Z20" s="63"/>
      <c r="AA20" s="63">
        <f t="shared" si="10"/>
        <v>-1800887.6</v>
      </c>
      <c r="AB20" s="63">
        <f t="shared" ref="AB20:AC20" si="12">AB5-AB19</f>
        <v>-36060</v>
      </c>
      <c r="AC20" s="63">
        <f t="shared" si="12"/>
        <v>-18900</v>
      </c>
      <c r="AD20" s="63">
        <f>AD5-AD19</f>
        <v>-23762</v>
      </c>
      <c r="AE20" s="63">
        <f>AE5-AE19</f>
        <v>-8900</v>
      </c>
      <c r="AF20" s="63">
        <f>AF5-AF19</f>
        <v>-6650</v>
      </c>
      <c r="AG20" s="63">
        <f>AG5-AG19</f>
        <v>20500</v>
      </c>
    </row>
  </sheetData>
  <mergeCells count="6">
    <mergeCell ref="I5:K5"/>
    <mergeCell ref="I20:K20"/>
    <mergeCell ref="E1:P1"/>
    <mergeCell ref="E2:P2"/>
    <mergeCell ref="U1:Z1"/>
    <mergeCell ref="Q20:R20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AC38"/>
  <sheetViews>
    <sheetView workbookViewId="0">
      <selection activeCell="U12" activeCellId="1" sqref="U9 U12"/>
    </sheetView>
  </sheetViews>
  <sheetFormatPr defaultRowHeight="14.25"/>
  <cols>
    <col min="2" max="2" width="25.875" customWidth="1"/>
    <col min="3" max="3" width="25.25" customWidth="1"/>
    <col min="4" max="4" width="14.875" customWidth="1"/>
    <col min="5" max="6" width="14.125" hidden="1" customWidth="1"/>
    <col min="7" max="7" width="9.125" hidden="1" customWidth="1"/>
    <col min="8" max="9" width="14.125" hidden="1" customWidth="1"/>
    <col min="10" max="10" width="9.125" hidden="1" customWidth="1"/>
    <col min="11" max="12" width="14.125" hidden="1" customWidth="1"/>
    <col min="13" max="13" width="9" hidden="1" customWidth="1"/>
    <col min="14" max="15" width="14.125" hidden="1" customWidth="1"/>
    <col min="16" max="16" width="11.375" hidden="1" customWidth="1"/>
    <col min="17" max="17" width="16.25" hidden="1" customWidth="1"/>
    <col min="18" max="18" width="15" hidden="1" customWidth="1"/>
    <col min="19" max="19" width="7.75" hidden="1" customWidth="1"/>
    <col min="20" max="21" width="16" customWidth="1"/>
    <col min="22" max="22" width="9.125" bestFit="1" customWidth="1"/>
    <col min="26" max="28" width="14.125" bestFit="1" customWidth="1"/>
    <col min="29" max="29" width="12.125" bestFit="1" customWidth="1"/>
  </cols>
  <sheetData>
    <row r="4" spans="2:29" ht="23.25" customHeight="1">
      <c r="B4" s="536" t="s">
        <v>1509</v>
      </c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465"/>
      <c r="U4" s="465"/>
      <c r="V4" s="465"/>
    </row>
    <row r="5" spans="2:29" ht="23.25" customHeight="1">
      <c r="B5" s="466" t="s">
        <v>152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8"/>
    </row>
    <row r="6" spans="2:29" ht="23.25" customHeight="1">
      <c r="B6" s="541" t="s">
        <v>278</v>
      </c>
      <c r="C6" s="454"/>
      <c r="D6" s="541" t="s">
        <v>1279</v>
      </c>
      <c r="E6" s="538">
        <v>243312</v>
      </c>
      <c r="F6" s="539"/>
      <c r="G6" s="540"/>
      <c r="H6" s="1121">
        <v>24189</v>
      </c>
      <c r="I6" s="1122"/>
      <c r="J6" s="1123"/>
      <c r="K6" s="1121">
        <v>243370</v>
      </c>
      <c r="L6" s="1122"/>
      <c r="M6" s="1123"/>
      <c r="N6" s="1121">
        <v>243376</v>
      </c>
      <c r="O6" s="1122"/>
      <c r="P6" s="1123"/>
      <c r="Q6" s="1121">
        <v>243465</v>
      </c>
      <c r="R6" s="1122"/>
      <c r="S6" s="1123"/>
      <c r="T6" s="1118">
        <v>243502</v>
      </c>
      <c r="U6" s="1119"/>
      <c r="V6" s="1120"/>
    </row>
    <row r="7" spans="2:29" ht="24" customHeight="1">
      <c r="B7" s="542"/>
      <c r="C7" s="454" t="s">
        <v>142</v>
      </c>
      <c r="D7" s="542"/>
      <c r="E7" s="453" t="s">
        <v>972</v>
      </c>
      <c r="F7" s="453" t="s">
        <v>63</v>
      </c>
      <c r="G7" s="453" t="s">
        <v>1280</v>
      </c>
      <c r="H7" s="453" t="s">
        <v>972</v>
      </c>
      <c r="I7" s="453" t="s">
        <v>63</v>
      </c>
      <c r="J7" s="453" t="s">
        <v>1280</v>
      </c>
      <c r="K7" s="453" t="s">
        <v>972</v>
      </c>
      <c r="L7" s="453" t="s">
        <v>63</v>
      </c>
      <c r="M7" s="453" t="s">
        <v>1280</v>
      </c>
      <c r="N7" s="453" t="s">
        <v>972</v>
      </c>
      <c r="O7" s="453" t="s">
        <v>63</v>
      </c>
      <c r="P7" s="453" t="s">
        <v>1280</v>
      </c>
      <c r="Q7" s="453"/>
      <c r="R7" s="453"/>
      <c r="S7" s="453"/>
      <c r="T7" s="453" t="s">
        <v>972</v>
      </c>
      <c r="U7" s="453" t="s">
        <v>63</v>
      </c>
      <c r="V7" s="453" t="s">
        <v>1280</v>
      </c>
    </row>
    <row r="8" spans="2:29" ht="20.25" customHeight="1">
      <c r="B8" s="157" t="s">
        <v>1281</v>
      </c>
      <c r="C8" s="157" t="s">
        <v>181</v>
      </c>
      <c r="D8" s="166">
        <f>+งบประมาณกิจกรรม!D77+งบประมาณกิจกรรม!D78</f>
        <v>117600</v>
      </c>
      <c r="E8" s="166">
        <v>45200</v>
      </c>
      <c r="F8" s="166">
        <f>D8-E8</f>
        <v>72400</v>
      </c>
      <c r="G8" s="166">
        <f>E8*100/D8</f>
        <v>38.435374149659864</v>
      </c>
      <c r="H8" s="166">
        <v>55000</v>
      </c>
      <c r="I8" s="166">
        <f>D8-H8</f>
        <v>62600</v>
      </c>
      <c r="J8" s="166">
        <f>H8*100/D8</f>
        <v>46.7687074829932</v>
      </c>
      <c r="K8" s="166">
        <v>64800</v>
      </c>
      <c r="L8" s="166">
        <f>D8-K8</f>
        <v>52800</v>
      </c>
      <c r="M8" s="166">
        <f>K8*100/D8</f>
        <v>55.102040816326529</v>
      </c>
      <c r="N8" s="166">
        <v>74600</v>
      </c>
      <c r="O8" s="166">
        <v>43000</v>
      </c>
      <c r="P8" s="166">
        <v>63.435374149659864</v>
      </c>
      <c r="Q8" s="166">
        <v>94200</v>
      </c>
      <c r="R8" s="166">
        <v>23400</v>
      </c>
      <c r="S8" s="166">
        <v>80.102040816326536</v>
      </c>
      <c r="T8" s="166">
        <f>งบประมาณกิจกรรม!E77</f>
        <v>117600</v>
      </c>
      <c r="U8" s="166">
        <f>D8-T8</f>
        <v>0</v>
      </c>
      <c r="V8" s="166">
        <f>T8*100/D8</f>
        <v>100</v>
      </c>
    </row>
    <row r="9" spans="2:29" ht="38.25" customHeight="1">
      <c r="B9" s="157" t="s">
        <v>1282</v>
      </c>
      <c r="C9" s="157" t="s">
        <v>181</v>
      </c>
      <c r="D9" s="166">
        <f>+งบประมาณกิจกรรม!D79+งบประมาณกิจกรรม!D80</f>
        <v>480000</v>
      </c>
      <c r="E9" s="166">
        <v>200000</v>
      </c>
      <c r="F9" s="166">
        <f t="shared" ref="F9:F14" si="0">D9-E9</f>
        <v>280000</v>
      </c>
      <c r="G9" s="166">
        <f t="shared" ref="G9:G14" si="1">E9*100/D9</f>
        <v>41.666666666666664</v>
      </c>
      <c r="H9" s="166">
        <v>235000</v>
      </c>
      <c r="I9" s="166">
        <f t="shared" ref="I9:I13" si="2">D9-H9</f>
        <v>245000</v>
      </c>
      <c r="J9" s="166">
        <f t="shared" ref="J9:J14" si="3">H9*100/D9</f>
        <v>48.958333333333336</v>
      </c>
      <c r="K9" s="166">
        <v>270000</v>
      </c>
      <c r="L9" s="166">
        <f t="shared" ref="L9:L13" si="4">D9-K9</f>
        <v>210000</v>
      </c>
      <c r="M9" s="166">
        <f t="shared" ref="M9:M14" si="5">K9*100/D9</f>
        <v>56.25</v>
      </c>
      <c r="N9" s="166">
        <v>295000</v>
      </c>
      <c r="O9" s="166">
        <v>185000</v>
      </c>
      <c r="P9" s="166">
        <v>61.458333333333336</v>
      </c>
      <c r="Q9" s="166">
        <v>345000</v>
      </c>
      <c r="R9" s="166">
        <v>135000</v>
      </c>
      <c r="S9" s="166">
        <v>71.875</v>
      </c>
      <c r="T9" s="166">
        <f>+งบประมาณกิจกรรม!E79</f>
        <v>415000</v>
      </c>
      <c r="U9" s="166">
        <f t="shared" ref="U9:U12" si="6">D9-T9</f>
        <v>65000</v>
      </c>
      <c r="V9" s="166">
        <f t="shared" ref="V9:V14" si="7">T9*100/D9</f>
        <v>86.458333333333329</v>
      </c>
      <c r="Y9" s="470" t="s">
        <v>1287</v>
      </c>
      <c r="Z9" s="470" t="s">
        <v>60</v>
      </c>
      <c r="AA9" s="470" t="s">
        <v>79</v>
      </c>
      <c r="AB9" s="470" t="s">
        <v>63</v>
      </c>
      <c r="AC9" s="470" t="s">
        <v>65</v>
      </c>
    </row>
    <row r="10" spans="2:29" ht="20.25" customHeight="1">
      <c r="B10" s="157" t="s">
        <v>1283</v>
      </c>
      <c r="C10" s="157" t="s">
        <v>181</v>
      </c>
      <c r="D10" s="166">
        <f>+งบประมาณกิจกรรม!D86+งบประมาณกิจกรรม!D88+งบประมาณกิจกรรม!D89+งบประมาณกิจกรรม!D87+งบประมาณกิจกรรม!D90+งบประมาณกิจกรรม!D93+งบประมาณกิจกรรม!D91+งบประมาณกิจกรรม!D92+งบประมาณกิจกรรม!D94+งบประมาณกิจกรรม!D95+งบประมาณกิจกรรม!D96</f>
        <v>560306</v>
      </c>
      <c r="E10" s="166">
        <v>213174</v>
      </c>
      <c r="F10" s="166">
        <f t="shared" si="0"/>
        <v>347132</v>
      </c>
      <c r="G10" s="166">
        <f t="shared" si="1"/>
        <v>38.045996294881725</v>
      </c>
      <c r="H10" s="166">
        <v>264745</v>
      </c>
      <c r="I10" s="166">
        <f t="shared" si="2"/>
        <v>295561</v>
      </c>
      <c r="J10" s="166">
        <f t="shared" si="3"/>
        <v>47.250074066670713</v>
      </c>
      <c r="K10" s="166">
        <v>319316</v>
      </c>
      <c r="L10" s="166">
        <f t="shared" si="4"/>
        <v>240990</v>
      </c>
      <c r="M10" s="166">
        <f t="shared" si="5"/>
        <v>56.989573554450601</v>
      </c>
      <c r="N10" s="166">
        <v>378714</v>
      </c>
      <c r="O10" s="166">
        <v>181592</v>
      </c>
      <c r="P10" s="166">
        <v>67.590566583259857</v>
      </c>
      <c r="Q10" s="166">
        <v>485606</v>
      </c>
      <c r="R10" s="166">
        <v>74700</v>
      </c>
      <c r="S10" s="166">
        <v>86.66799927182646</v>
      </c>
      <c r="T10" s="166">
        <f>+งบประมาณกิจกรรม!E86+งบประมาณกิจกรรม!E89+งบประมาณกิจกรรม!E93</f>
        <v>538760</v>
      </c>
      <c r="U10" s="166">
        <f t="shared" si="6"/>
        <v>21546</v>
      </c>
      <c r="V10" s="166">
        <f t="shared" si="7"/>
        <v>96.154601235753319</v>
      </c>
      <c r="Y10" s="456">
        <v>23743</v>
      </c>
      <c r="Z10" s="166">
        <v>32840611</v>
      </c>
      <c r="AA10" s="166">
        <v>16900593.41</v>
      </c>
      <c r="AB10" s="166">
        <f>Z10-AA10</f>
        <v>15940017.59</v>
      </c>
      <c r="AC10" s="469">
        <f t="shared" ref="AC10:AC11" si="8">AA10*100/Z10</f>
        <v>51.46248165114833</v>
      </c>
    </row>
    <row r="11" spans="2:29" ht="36" customHeight="1">
      <c r="B11" s="452" t="s">
        <v>1284</v>
      </c>
      <c r="C11" s="157" t="s">
        <v>181</v>
      </c>
      <c r="D11" s="166">
        <f>+งบประมาณกิจกรรม!D82+งบประมาณกิจกรรม!D81+งบประมาณกิจกรรม!D83+งบประมาณกิจกรรม!D84+งบประมาณกิจกรรม!D85</f>
        <v>234500</v>
      </c>
      <c r="E11" s="166">
        <v>102500</v>
      </c>
      <c r="F11" s="166">
        <f t="shared" si="0"/>
        <v>132000</v>
      </c>
      <c r="G11" s="166">
        <f t="shared" si="1"/>
        <v>43.710021321961619</v>
      </c>
      <c r="H11" s="166">
        <v>123000</v>
      </c>
      <c r="I11" s="166">
        <f t="shared" si="2"/>
        <v>111500</v>
      </c>
      <c r="J11" s="166">
        <f t="shared" si="3"/>
        <v>52.452025586353948</v>
      </c>
      <c r="K11" s="166">
        <v>143500</v>
      </c>
      <c r="L11" s="166">
        <f t="shared" si="4"/>
        <v>91000</v>
      </c>
      <c r="M11" s="166">
        <f t="shared" si="5"/>
        <v>61.194029850746269</v>
      </c>
      <c r="N11" s="166">
        <v>162500</v>
      </c>
      <c r="O11" s="166">
        <v>72000</v>
      </c>
      <c r="P11" s="166">
        <v>69.296375266524521</v>
      </c>
      <c r="Q11" s="166">
        <v>199000</v>
      </c>
      <c r="R11" s="166">
        <v>35500</v>
      </c>
      <c r="S11" s="166">
        <v>84.86140724946695</v>
      </c>
      <c r="T11" s="166">
        <f>+งบประมาณกิจกรรม!E81+งบประมาณกิจกรรม!E83</f>
        <v>226100</v>
      </c>
      <c r="U11" s="166">
        <f t="shared" si="6"/>
        <v>8400</v>
      </c>
      <c r="V11" s="166">
        <f t="shared" si="7"/>
        <v>96.417910447761187</v>
      </c>
      <c r="Y11" s="456">
        <v>24139</v>
      </c>
      <c r="Z11" s="469">
        <v>56978142</v>
      </c>
      <c r="AA11" s="166">
        <v>20148937.030000001</v>
      </c>
      <c r="AB11" s="166">
        <f>Z11-AA11</f>
        <v>36829204.969999999</v>
      </c>
      <c r="AC11" s="469">
        <f t="shared" si="8"/>
        <v>35.362572949465431</v>
      </c>
    </row>
    <row r="12" spans="2:29" ht="21">
      <c r="B12" s="157" t="s">
        <v>1285</v>
      </c>
      <c r="C12" s="157" t="s">
        <v>181</v>
      </c>
      <c r="D12" s="166">
        <f>งบประมาณกิจกรรม!D73++งบประมาณกิจกรรม!D74+งบประมาณกิจกรรม!D75+งบประมาณกิจกรรม!D76</f>
        <v>30473322</v>
      </c>
      <c r="E12" s="166">
        <v>12104563.029999999</v>
      </c>
      <c r="F12" s="166">
        <f t="shared" si="0"/>
        <v>18368758.969999999</v>
      </c>
      <c r="G12" s="166">
        <f t="shared" si="1"/>
        <v>39.721836135883052</v>
      </c>
      <c r="H12" s="166">
        <v>14547417.029999999</v>
      </c>
      <c r="I12" s="166">
        <f t="shared" si="2"/>
        <v>15925904.970000001</v>
      </c>
      <c r="J12" s="166">
        <f t="shared" si="3"/>
        <v>47.738205339083152</v>
      </c>
      <c r="K12" s="166">
        <v>16938417.030000001</v>
      </c>
      <c r="L12" s="166">
        <f t="shared" si="4"/>
        <v>13534904.969999999</v>
      </c>
      <c r="M12" s="166">
        <f t="shared" si="5"/>
        <v>55.584412588821131</v>
      </c>
      <c r="N12" s="166">
        <v>19325595.029999997</v>
      </c>
      <c r="O12" s="166">
        <v>7661236.9700000025</v>
      </c>
      <c r="P12" s="166">
        <v>71.61120293778832</v>
      </c>
      <c r="Q12" s="166">
        <v>24307366.899999999</v>
      </c>
      <c r="R12" s="166">
        <v>6165955.1000000015</v>
      </c>
      <c r="S12" s="166">
        <v>79.766055371317904</v>
      </c>
      <c r="T12" s="166">
        <f>+งบประมาณกิจกรรม!E73+งบประมาณกิจกรรม!E74+งบประมาณกิจกรรม!E75</f>
        <v>29447864.490000002</v>
      </c>
      <c r="U12" s="166">
        <f t="shared" si="6"/>
        <v>1025457.5099999979</v>
      </c>
      <c r="V12" s="166">
        <f t="shared" si="7"/>
        <v>96.634900815867724</v>
      </c>
      <c r="Y12" s="456">
        <v>24167</v>
      </c>
      <c r="Z12" s="469">
        <v>56978142</v>
      </c>
      <c r="AA12" s="469">
        <v>26889015.27</v>
      </c>
      <c r="AB12" s="469">
        <v>30240356.73</v>
      </c>
      <c r="AC12" s="469">
        <f>AA12*100/Z12</f>
        <v>47.191807816407916</v>
      </c>
    </row>
    <row r="13" spans="2:29" ht="18.75" customHeight="1">
      <c r="B13" s="157" t="s">
        <v>1286</v>
      </c>
      <c r="C13" s="157" t="s">
        <v>181</v>
      </c>
      <c r="D13" s="166">
        <f>+งบประมาณกิจกรรม!D97+งบประมาณกิจกรรม!D98</f>
        <v>24751204</v>
      </c>
      <c r="E13" s="166">
        <v>7483500</v>
      </c>
      <c r="F13" s="166">
        <f t="shared" si="0"/>
        <v>17267704</v>
      </c>
      <c r="G13" s="166">
        <f t="shared" si="1"/>
        <v>30.234892815719189</v>
      </c>
      <c r="H13" s="166">
        <v>9367500</v>
      </c>
      <c r="I13" s="166">
        <f t="shared" si="2"/>
        <v>15383704</v>
      </c>
      <c r="J13" s="166">
        <f t="shared" si="3"/>
        <v>37.846643743068014</v>
      </c>
      <c r="K13" s="166">
        <v>23474363.689999998</v>
      </c>
      <c r="L13" s="166">
        <f t="shared" si="4"/>
        <v>1276840.3100000024</v>
      </c>
      <c r="M13" s="166">
        <f t="shared" si="5"/>
        <v>94.841300205032454</v>
      </c>
      <c r="N13" s="166">
        <v>24505271.699999999</v>
      </c>
      <c r="O13" s="166">
        <v>245932.30000000075</v>
      </c>
      <c r="P13" s="166">
        <v>99.006382477393828</v>
      </c>
      <c r="Q13" s="166">
        <v>24751204</v>
      </c>
      <c r="R13" s="166">
        <v>0</v>
      </c>
      <c r="S13" s="166">
        <v>100</v>
      </c>
      <c r="T13" s="582">
        <f>+งบประมาณกิจกรรม!E97+งบประมาณกิจกรรม!E98</f>
        <v>24751204</v>
      </c>
      <c r="U13" s="166">
        <f>D13-T13</f>
        <v>0</v>
      </c>
      <c r="V13" s="166">
        <f t="shared" si="7"/>
        <v>100</v>
      </c>
      <c r="Y13" s="157"/>
      <c r="Z13" s="157"/>
      <c r="AA13" s="157"/>
      <c r="AB13" s="157"/>
      <c r="AC13" s="157"/>
    </row>
    <row r="14" spans="2:29" ht="27" customHeight="1">
      <c r="B14" s="453" t="s">
        <v>66</v>
      </c>
      <c r="C14" s="454"/>
      <c r="D14" s="455">
        <f>SUM(D8:D13)</f>
        <v>56616932</v>
      </c>
      <c r="E14" s="455">
        <f t="shared" ref="E14" si="9">SUM(E8:E13)</f>
        <v>20148937.030000001</v>
      </c>
      <c r="F14" s="455">
        <f t="shared" si="0"/>
        <v>36467994.969999999</v>
      </c>
      <c r="G14" s="455">
        <f t="shared" si="1"/>
        <v>35.588182400982092</v>
      </c>
      <c r="H14" s="455">
        <v>24592662.030000001</v>
      </c>
      <c r="I14" s="455">
        <f>SUM(I8:I13)</f>
        <v>32024269.969999999</v>
      </c>
      <c r="J14" s="455">
        <f t="shared" si="3"/>
        <v>43.436938670572964</v>
      </c>
      <c r="K14" s="455">
        <f>SUM(K8:K13)</f>
        <v>41210396.719999999</v>
      </c>
      <c r="L14" s="455">
        <f>SUM(L8:L13)</f>
        <v>15406535.280000001</v>
      </c>
      <c r="M14" s="455">
        <f t="shared" si="5"/>
        <v>72.788113492267655</v>
      </c>
      <c r="N14" s="455">
        <v>44741680.729999997</v>
      </c>
      <c r="O14" s="455">
        <v>8388761.2700000033</v>
      </c>
      <c r="P14" s="455">
        <v>84.211007937784515</v>
      </c>
      <c r="Q14" s="455">
        <v>50182376.899999999</v>
      </c>
      <c r="R14" s="455">
        <v>6434555.1000000015</v>
      </c>
      <c r="S14" s="455">
        <v>88.634927975256588</v>
      </c>
      <c r="T14" s="455">
        <f>SUM(T8:T13)</f>
        <v>55496528.490000002</v>
      </c>
      <c r="U14" s="455">
        <f>SUM(U8:U13)</f>
        <v>1120403.5099999979</v>
      </c>
      <c r="V14" s="455">
        <f t="shared" si="7"/>
        <v>98.021080495848835</v>
      </c>
      <c r="Y14" s="157"/>
      <c r="Z14" s="157"/>
      <c r="AA14" s="157"/>
      <c r="AB14" s="157"/>
      <c r="AC14" s="157"/>
    </row>
    <row r="15" spans="2:29">
      <c r="D15" s="116">
        <f>D14-งบประมาณกิจกรรม!D100</f>
        <v>1025457.5099999979</v>
      </c>
    </row>
    <row r="21" spans="2:7" ht="21">
      <c r="B21" s="5" t="s">
        <v>59</v>
      </c>
      <c r="C21" s="6" t="s">
        <v>2</v>
      </c>
      <c r="D21" s="7" t="s">
        <v>60</v>
      </c>
      <c r="E21" s="7" t="s">
        <v>79</v>
      </c>
      <c r="F21" s="7" t="s">
        <v>63</v>
      </c>
      <c r="G21" s="7" t="s">
        <v>65</v>
      </c>
    </row>
    <row r="22" spans="2:7" ht="21">
      <c r="B22" s="17" t="s">
        <v>260</v>
      </c>
      <c r="C22" s="10" t="s">
        <v>246</v>
      </c>
      <c r="D22" s="474">
        <v>1156700</v>
      </c>
      <c r="E22" s="474">
        <v>623535</v>
      </c>
      <c r="F22" s="475">
        <v>533165</v>
      </c>
      <c r="G22" s="475">
        <v>53.906371574306213</v>
      </c>
    </row>
    <row r="23" spans="2:7" ht="21">
      <c r="B23" s="17" t="s">
        <v>152</v>
      </c>
      <c r="C23" s="10" t="s">
        <v>142</v>
      </c>
      <c r="D23" s="471">
        <v>52450904</v>
      </c>
      <c r="E23" s="472">
        <v>24592662.030000001</v>
      </c>
      <c r="F23" s="473">
        <v>27858241.969999999</v>
      </c>
      <c r="G23" s="473">
        <v>46.887012719551983</v>
      </c>
    </row>
    <row r="24" spans="2:7" ht="21">
      <c r="B24" s="17" t="s">
        <v>150</v>
      </c>
      <c r="C24" s="10" t="s">
        <v>141</v>
      </c>
      <c r="D24" s="11">
        <v>254100</v>
      </c>
      <c r="E24" s="13">
        <v>140580</v>
      </c>
      <c r="F24" s="14">
        <v>113520</v>
      </c>
      <c r="G24" s="14">
        <v>55.324675324675326</v>
      </c>
    </row>
    <row r="25" spans="2:7" ht="63">
      <c r="B25" s="9" t="s">
        <v>126</v>
      </c>
      <c r="C25" s="10" t="s">
        <v>138</v>
      </c>
      <c r="D25" s="476">
        <v>1295500</v>
      </c>
      <c r="E25" s="479">
        <v>506881.77000000008</v>
      </c>
      <c r="F25" s="475">
        <v>788618.23</v>
      </c>
      <c r="G25" s="475">
        <v>39.126342724816681</v>
      </c>
    </row>
    <row r="26" spans="2:7" ht="42">
      <c r="B26" s="9" t="s">
        <v>252</v>
      </c>
      <c r="C26" s="10" t="s">
        <v>247</v>
      </c>
      <c r="D26" s="476">
        <v>52000</v>
      </c>
      <c r="E26" s="476">
        <v>15000</v>
      </c>
      <c r="F26" s="475">
        <v>37000</v>
      </c>
      <c r="G26" s="475">
        <v>28.846153846153847</v>
      </c>
    </row>
    <row r="27" spans="2:7" ht="21">
      <c r="B27" s="9" t="s">
        <v>266</v>
      </c>
      <c r="C27" s="10" t="s">
        <v>249</v>
      </c>
      <c r="D27" s="11">
        <v>147300</v>
      </c>
      <c r="E27" s="11">
        <v>36200</v>
      </c>
      <c r="F27" s="14">
        <v>111100</v>
      </c>
      <c r="G27" s="14">
        <v>24.575695858791583</v>
      </c>
    </row>
    <row r="28" spans="2:7" ht="21">
      <c r="B28" s="17" t="s">
        <v>179</v>
      </c>
      <c r="C28" s="10" t="s">
        <v>176</v>
      </c>
      <c r="D28" s="107">
        <v>1034148</v>
      </c>
      <c r="E28" s="108">
        <v>832229.89999999991</v>
      </c>
      <c r="F28" s="14">
        <v>201918.10000000009</v>
      </c>
      <c r="G28" s="14">
        <v>80.47493202133542</v>
      </c>
    </row>
    <row r="29" spans="2:7" ht="21">
      <c r="B29" s="17" t="s">
        <v>140</v>
      </c>
      <c r="C29" s="10" t="s">
        <v>134</v>
      </c>
      <c r="D29" s="11">
        <v>348490</v>
      </c>
      <c r="E29" s="13">
        <v>141926.57</v>
      </c>
      <c r="F29" s="14">
        <v>206563.43</v>
      </c>
      <c r="G29" s="14">
        <v>40.726152830784244</v>
      </c>
    </row>
    <row r="30" spans="2:7" ht="21">
      <c r="B30" s="17" t="s">
        <v>269</v>
      </c>
      <c r="C30" s="10" t="s">
        <v>250</v>
      </c>
      <c r="D30" s="107">
        <v>80000</v>
      </c>
      <c r="E30" s="108">
        <v>0</v>
      </c>
      <c r="F30" s="14">
        <v>80000</v>
      </c>
      <c r="G30" s="14">
        <v>0</v>
      </c>
    </row>
    <row r="31" spans="2:7" ht="21">
      <c r="B31" s="17" t="s">
        <v>272</v>
      </c>
      <c r="C31" s="10" t="s">
        <v>251</v>
      </c>
      <c r="D31" s="474">
        <v>159000</v>
      </c>
      <c r="E31" s="477">
        <v>0</v>
      </c>
      <c r="F31" s="475">
        <v>159000</v>
      </c>
      <c r="G31" s="475">
        <v>0</v>
      </c>
    </row>
    <row r="32" spans="2:7" ht="21.75" thickBot="1">
      <c r="B32" s="993" t="s">
        <v>66</v>
      </c>
      <c r="C32" s="994"/>
      <c r="D32" s="23">
        <v>56978142</v>
      </c>
      <c r="E32" s="23">
        <v>26889015.27</v>
      </c>
      <c r="F32" s="23">
        <v>30089126.73</v>
      </c>
      <c r="G32" s="24">
        <v>47.191807816407916</v>
      </c>
    </row>
    <row r="33" spans="3:7" ht="15" thickTop="1"/>
    <row r="34" spans="3:7" s="478" customFormat="1" ht="40.5" customHeight="1">
      <c r="C34" s="487" t="s">
        <v>278</v>
      </c>
      <c r="D34" s="487" t="s">
        <v>60</v>
      </c>
      <c r="E34" s="487" t="s">
        <v>79</v>
      </c>
      <c r="F34" s="487" t="s">
        <v>63</v>
      </c>
      <c r="G34" s="488" t="s">
        <v>65</v>
      </c>
    </row>
    <row r="35" spans="3:7" ht="26.25">
      <c r="C35" s="480" t="s">
        <v>1288</v>
      </c>
      <c r="D35" s="481">
        <f>D23</f>
        <v>52450904</v>
      </c>
      <c r="E35" s="481">
        <f t="shared" ref="E35:G35" si="10">E23</f>
        <v>24592662.030000001</v>
      </c>
      <c r="F35" s="481">
        <f t="shared" si="10"/>
        <v>27858241.969999999</v>
      </c>
      <c r="G35" s="482">
        <f t="shared" si="10"/>
        <v>46.887012719551983</v>
      </c>
    </row>
    <row r="36" spans="3:7" ht="78.75">
      <c r="C36" s="483" t="s">
        <v>1290</v>
      </c>
      <c r="D36" s="484">
        <f>D22+D26+D31</f>
        <v>1367700</v>
      </c>
      <c r="E36" s="484">
        <f t="shared" ref="E36:F36" si="11">E22+E26+E31</f>
        <v>638535</v>
      </c>
      <c r="F36" s="484">
        <f t="shared" si="11"/>
        <v>729165</v>
      </c>
      <c r="G36" s="484">
        <f>E36*100/D36</f>
        <v>46.686773415222639</v>
      </c>
    </row>
    <row r="37" spans="3:7" ht="24" customHeight="1">
      <c r="C37" s="480" t="s">
        <v>1289</v>
      </c>
      <c r="D37" s="481">
        <f>+D24+D25+D27+D28+D29+D30</f>
        <v>3159538</v>
      </c>
      <c r="E37" s="481">
        <f t="shared" ref="E37:F37" si="12">+E24+E25+E27+E28+E29+E30</f>
        <v>1657818.24</v>
      </c>
      <c r="F37" s="481">
        <f t="shared" si="12"/>
        <v>1501719.76</v>
      </c>
      <c r="G37" s="482">
        <f>E37*100/D37</f>
        <v>52.470273818513974</v>
      </c>
    </row>
    <row r="38" spans="3:7" ht="25.5" customHeight="1">
      <c r="C38" s="470" t="s">
        <v>66</v>
      </c>
      <c r="D38" s="485">
        <f>SUM(D35:D37)</f>
        <v>56978142</v>
      </c>
      <c r="E38" s="485">
        <f t="shared" ref="E38:F38" si="13">SUM(E35:E37)</f>
        <v>26889015.27</v>
      </c>
      <c r="F38" s="485">
        <f t="shared" si="13"/>
        <v>30089126.73</v>
      </c>
      <c r="G38" s="486">
        <f>E38*100/D38</f>
        <v>47.191807816407916</v>
      </c>
    </row>
  </sheetData>
  <mergeCells count="6">
    <mergeCell ref="T6:V6"/>
    <mergeCell ref="B32:C32"/>
    <mergeCell ref="K6:M6"/>
    <mergeCell ref="H6:J6"/>
    <mergeCell ref="N6:P6"/>
    <mergeCell ref="Q6:S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opLeftCell="C52" zoomScale="90" zoomScaleNormal="90" workbookViewId="0">
      <selection activeCell="E31" sqref="E31"/>
    </sheetView>
  </sheetViews>
  <sheetFormatPr defaultColWidth="9.125" defaultRowHeight="21"/>
  <cols>
    <col min="1" max="1" width="0" style="71" hidden="1" customWidth="1"/>
    <col min="2" max="2" width="13.375" style="71" hidden="1" customWidth="1"/>
    <col min="3" max="3" width="5.625" style="71" bestFit="1" customWidth="1"/>
    <col min="4" max="4" width="24.25" style="71" customWidth="1"/>
    <col min="5" max="5" width="58.625" style="86" customWidth="1"/>
    <col min="6" max="8" width="9.125" style="71" customWidth="1"/>
    <col min="9" max="9" width="16.125" style="71" customWidth="1"/>
    <col min="10" max="10" width="14.25" style="757" bestFit="1" customWidth="1"/>
    <col min="11" max="11" width="14.75" style="848" bestFit="1" customWidth="1"/>
    <col min="12" max="12" width="14.25" style="71" customWidth="1"/>
    <col min="13" max="13" width="17.125" style="71" customWidth="1"/>
    <col min="14" max="16384" width="9.125" style="71"/>
  </cols>
  <sheetData>
    <row r="1" spans="1:13">
      <c r="A1" s="73"/>
      <c r="B1" s="73"/>
      <c r="C1" s="73"/>
      <c r="D1" s="73"/>
      <c r="E1" s="995" t="s">
        <v>58</v>
      </c>
      <c r="F1" s="995"/>
      <c r="G1" s="995"/>
      <c r="H1" s="995"/>
      <c r="I1" s="995"/>
      <c r="J1" s="995"/>
      <c r="K1" s="995"/>
      <c r="L1" s="995"/>
      <c r="M1" s="73"/>
    </row>
    <row r="2" spans="1:13">
      <c r="A2" s="76"/>
      <c r="B2" s="72"/>
      <c r="C2" s="72"/>
      <c r="D2" s="72"/>
      <c r="E2" s="990" t="s">
        <v>127</v>
      </c>
      <c r="F2" s="990"/>
      <c r="G2" s="990"/>
      <c r="H2" s="990"/>
      <c r="I2" s="990"/>
      <c r="J2" s="990"/>
      <c r="K2" s="990"/>
      <c r="L2" s="990"/>
      <c r="M2" s="72"/>
    </row>
    <row r="3" spans="1:13" ht="33.75" customHeight="1">
      <c r="A3" s="74"/>
      <c r="B3" s="75"/>
      <c r="C3" s="75"/>
      <c r="D3" s="75"/>
      <c r="E3" s="992" t="str">
        <f>งบประมาณ!B2</f>
        <v xml:space="preserve"> ณ วันที่ 12 กันยายน  2566</v>
      </c>
      <c r="F3" s="992"/>
      <c r="G3" s="992"/>
      <c r="H3" s="992"/>
      <c r="I3" s="992"/>
      <c r="J3" s="992"/>
      <c r="K3" s="992"/>
      <c r="L3" s="992"/>
    </row>
    <row r="4" spans="1:13" s="78" customFormat="1" ht="42">
      <c r="A4" s="77" t="s">
        <v>0</v>
      </c>
      <c r="B4" s="77" t="s">
        <v>1</v>
      </c>
      <c r="C4" s="77" t="s">
        <v>128</v>
      </c>
      <c r="D4" s="77" t="s">
        <v>2</v>
      </c>
      <c r="E4" s="77" t="s">
        <v>3</v>
      </c>
      <c r="F4" s="77" t="s">
        <v>4</v>
      </c>
      <c r="G4" s="77" t="s">
        <v>5</v>
      </c>
      <c r="H4" s="77" t="s">
        <v>6</v>
      </c>
      <c r="I4" s="77" t="s">
        <v>7</v>
      </c>
      <c r="J4" s="752" t="s">
        <v>8</v>
      </c>
      <c r="K4" s="842" t="s">
        <v>9</v>
      </c>
      <c r="L4" s="77" t="s">
        <v>10</v>
      </c>
    </row>
    <row r="5" spans="1:13" s="78" customFormat="1">
      <c r="A5" s="77"/>
      <c r="B5" s="77"/>
      <c r="C5" s="1125" t="s">
        <v>74</v>
      </c>
      <c r="D5" s="1126"/>
      <c r="E5" s="1127"/>
      <c r="F5" s="77"/>
      <c r="G5" s="77"/>
      <c r="H5" s="77"/>
      <c r="I5" s="77"/>
      <c r="J5" s="752"/>
      <c r="K5" s="842"/>
      <c r="L5" s="77"/>
    </row>
    <row r="6" spans="1:13" ht="42">
      <c r="A6" s="79" t="s">
        <v>11</v>
      </c>
      <c r="B6" s="79" t="s">
        <v>12</v>
      </c>
      <c r="C6" s="93">
        <v>1</v>
      </c>
      <c r="D6" s="79" t="s">
        <v>15</v>
      </c>
      <c r="E6" s="80" t="s">
        <v>163</v>
      </c>
      <c r="F6" s="79" t="s">
        <v>16</v>
      </c>
      <c r="G6" s="79" t="s">
        <v>17</v>
      </c>
      <c r="H6" s="79" t="s">
        <v>13</v>
      </c>
      <c r="I6" s="79" t="s">
        <v>14</v>
      </c>
      <c r="J6" s="753">
        <v>428000</v>
      </c>
      <c r="K6" s="843">
        <v>428000</v>
      </c>
      <c r="L6" s="81">
        <f t="shared" ref="L6:L45" si="0">J6-K6</f>
        <v>0</v>
      </c>
      <c r="M6" s="1124" t="s">
        <v>166</v>
      </c>
    </row>
    <row r="7" spans="1:13" ht="42">
      <c r="A7" s="79" t="s">
        <v>11</v>
      </c>
      <c r="B7" s="79" t="s">
        <v>12</v>
      </c>
      <c r="C7" s="93">
        <v>2</v>
      </c>
      <c r="D7" s="79" t="s">
        <v>18</v>
      </c>
      <c r="E7" s="80" t="s">
        <v>162</v>
      </c>
      <c r="F7" s="79" t="s">
        <v>16</v>
      </c>
      <c r="G7" s="79" t="s">
        <v>17</v>
      </c>
      <c r="H7" s="79" t="s">
        <v>13</v>
      </c>
      <c r="I7" s="79" t="s">
        <v>14</v>
      </c>
      <c r="J7" s="753">
        <v>428000</v>
      </c>
      <c r="K7" s="843">
        <v>428000</v>
      </c>
      <c r="L7" s="81">
        <f t="shared" si="0"/>
        <v>0</v>
      </c>
      <c r="M7" s="1124"/>
    </row>
    <row r="8" spans="1:13" ht="63">
      <c r="A8" s="79" t="s">
        <v>11</v>
      </c>
      <c r="B8" s="79" t="s">
        <v>12</v>
      </c>
      <c r="C8" s="93">
        <v>3</v>
      </c>
      <c r="D8" s="79" t="s">
        <v>23</v>
      </c>
      <c r="E8" s="80" t="s">
        <v>87</v>
      </c>
      <c r="F8" s="79" t="s">
        <v>16</v>
      </c>
      <c r="G8" s="79" t="s">
        <v>17</v>
      </c>
      <c r="H8" s="79" t="s">
        <v>13</v>
      </c>
      <c r="I8" s="79" t="s">
        <v>14</v>
      </c>
      <c r="J8" s="753">
        <v>890000</v>
      </c>
      <c r="K8" s="843">
        <v>890000</v>
      </c>
      <c r="L8" s="81">
        <f t="shared" si="0"/>
        <v>0</v>
      </c>
      <c r="M8" s="1124" t="s">
        <v>165</v>
      </c>
    </row>
    <row r="9" spans="1:13" ht="63">
      <c r="A9" s="79" t="s">
        <v>11</v>
      </c>
      <c r="B9" s="79" t="s">
        <v>12</v>
      </c>
      <c r="C9" s="93">
        <v>4</v>
      </c>
      <c r="D9" s="79" t="s">
        <v>24</v>
      </c>
      <c r="E9" s="80" t="s">
        <v>88</v>
      </c>
      <c r="F9" s="79" t="s">
        <v>16</v>
      </c>
      <c r="G9" s="79" t="s">
        <v>17</v>
      </c>
      <c r="H9" s="79" t="s">
        <v>13</v>
      </c>
      <c r="I9" s="79" t="s">
        <v>14</v>
      </c>
      <c r="J9" s="753">
        <v>1289000</v>
      </c>
      <c r="K9" s="843">
        <v>1289000</v>
      </c>
      <c r="L9" s="81">
        <f t="shared" si="0"/>
        <v>0</v>
      </c>
      <c r="M9" s="1124"/>
    </row>
    <row r="10" spans="1:13" ht="42">
      <c r="A10" s="79" t="s">
        <v>11</v>
      </c>
      <c r="B10" s="79" t="s">
        <v>12</v>
      </c>
      <c r="C10" s="93">
        <v>5</v>
      </c>
      <c r="D10" s="79" t="s">
        <v>25</v>
      </c>
      <c r="E10" s="80" t="s">
        <v>89</v>
      </c>
      <c r="F10" s="79" t="s">
        <v>16</v>
      </c>
      <c r="G10" s="79" t="s">
        <v>17</v>
      </c>
      <c r="H10" s="79" t="s">
        <v>13</v>
      </c>
      <c r="I10" s="79" t="s">
        <v>14</v>
      </c>
      <c r="J10" s="753">
        <v>929800</v>
      </c>
      <c r="K10" s="843">
        <v>929800</v>
      </c>
      <c r="L10" s="81">
        <f t="shared" si="0"/>
        <v>0</v>
      </c>
      <c r="M10" s="1124"/>
    </row>
    <row r="11" spans="1:13" ht="42">
      <c r="A11" s="79" t="s">
        <v>11</v>
      </c>
      <c r="B11" s="79" t="s">
        <v>12</v>
      </c>
      <c r="C11" s="93">
        <v>6</v>
      </c>
      <c r="D11" s="79" t="s">
        <v>26</v>
      </c>
      <c r="E11" s="80" t="s">
        <v>90</v>
      </c>
      <c r="F11" s="79" t="s">
        <v>16</v>
      </c>
      <c r="G11" s="79" t="s">
        <v>17</v>
      </c>
      <c r="H11" s="79" t="s">
        <v>13</v>
      </c>
      <c r="I11" s="79" t="s">
        <v>14</v>
      </c>
      <c r="J11" s="753">
        <v>139400</v>
      </c>
      <c r="K11" s="843">
        <v>139400</v>
      </c>
      <c r="L11" s="81">
        <f t="shared" si="0"/>
        <v>0</v>
      </c>
      <c r="M11" s="1124"/>
    </row>
    <row r="12" spans="1:13" ht="42">
      <c r="A12" s="79" t="s">
        <v>11</v>
      </c>
      <c r="B12" s="79" t="s">
        <v>12</v>
      </c>
      <c r="C12" s="93">
        <v>7</v>
      </c>
      <c r="D12" s="79" t="s">
        <v>27</v>
      </c>
      <c r="E12" s="80" t="s">
        <v>91</v>
      </c>
      <c r="F12" s="79" t="s">
        <v>16</v>
      </c>
      <c r="G12" s="79" t="s">
        <v>17</v>
      </c>
      <c r="H12" s="79" t="s">
        <v>13</v>
      </c>
      <c r="I12" s="79" t="s">
        <v>14</v>
      </c>
      <c r="J12" s="753">
        <v>328000</v>
      </c>
      <c r="K12" s="843">
        <v>328000</v>
      </c>
      <c r="L12" s="81">
        <f t="shared" si="0"/>
        <v>0</v>
      </c>
      <c r="M12" s="1124"/>
    </row>
    <row r="13" spans="1:13" ht="42">
      <c r="A13" s="79" t="s">
        <v>11</v>
      </c>
      <c r="B13" s="79" t="s">
        <v>12</v>
      </c>
      <c r="C13" s="93">
        <v>8</v>
      </c>
      <c r="D13" s="79" t="s">
        <v>28</v>
      </c>
      <c r="E13" s="80" t="s">
        <v>92</v>
      </c>
      <c r="F13" s="79" t="s">
        <v>16</v>
      </c>
      <c r="G13" s="79" t="s">
        <v>17</v>
      </c>
      <c r="H13" s="79" t="s">
        <v>13</v>
      </c>
      <c r="I13" s="79" t="s">
        <v>14</v>
      </c>
      <c r="J13" s="753">
        <v>1859600</v>
      </c>
      <c r="K13" s="843">
        <v>1859600</v>
      </c>
      <c r="L13" s="81">
        <f t="shared" si="0"/>
        <v>0</v>
      </c>
      <c r="M13" s="1124"/>
    </row>
    <row r="14" spans="1:13" ht="63">
      <c r="A14" s="79" t="s">
        <v>11</v>
      </c>
      <c r="B14" s="79" t="s">
        <v>12</v>
      </c>
      <c r="C14" s="93">
        <v>9</v>
      </c>
      <c r="D14" s="79" t="s">
        <v>29</v>
      </c>
      <c r="E14" s="80" t="s">
        <v>93</v>
      </c>
      <c r="F14" s="79" t="s">
        <v>16</v>
      </c>
      <c r="G14" s="79" t="s">
        <v>17</v>
      </c>
      <c r="H14" s="79" t="s">
        <v>13</v>
      </c>
      <c r="I14" s="79" t="s">
        <v>14</v>
      </c>
      <c r="J14" s="753">
        <v>445000</v>
      </c>
      <c r="K14" s="843">
        <v>445000</v>
      </c>
      <c r="L14" s="81">
        <f t="shared" si="0"/>
        <v>0</v>
      </c>
      <c r="M14" s="1124"/>
    </row>
    <row r="15" spans="1:13" ht="42">
      <c r="A15" s="79" t="s">
        <v>11</v>
      </c>
      <c r="B15" s="79" t="s">
        <v>12</v>
      </c>
      <c r="C15" s="93">
        <v>10</v>
      </c>
      <c r="D15" s="79" t="s">
        <v>30</v>
      </c>
      <c r="E15" s="80" t="s">
        <v>94</v>
      </c>
      <c r="F15" s="79" t="s">
        <v>16</v>
      </c>
      <c r="G15" s="79" t="s">
        <v>17</v>
      </c>
      <c r="H15" s="79" t="s">
        <v>13</v>
      </c>
      <c r="I15" s="79" t="s">
        <v>14</v>
      </c>
      <c r="J15" s="753">
        <v>299500</v>
      </c>
      <c r="K15" s="843">
        <v>299500</v>
      </c>
      <c r="L15" s="81">
        <f t="shared" si="0"/>
        <v>0</v>
      </c>
      <c r="M15" s="1124"/>
    </row>
    <row r="16" spans="1:13" ht="63">
      <c r="A16" s="79" t="s">
        <v>11</v>
      </c>
      <c r="B16" s="79" t="s">
        <v>12</v>
      </c>
      <c r="C16" s="93">
        <v>11</v>
      </c>
      <c r="D16" s="79" t="s">
        <v>31</v>
      </c>
      <c r="E16" s="80" t="s">
        <v>95</v>
      </c>
      <c r="F16" s="79" t="s">
        <v>16</v>
      </c>
      <c r="G16" s="79" t="s">
        <v>17</v>
      </c>
      <c r="H16" s="79" t="s">
        <v>13</v>
      </c>
      <c r="I16" s="79" t="s">
        <v>14</v>
      </c>
      <c r="J16" s="753">
        <v>1460000</v>
      </c>
      <c r="K16" s="843">
        <v>1460000</v>
      </c>
      <c r="L16" s="81">
        <f t="shared" si="0"/>
        <v>0</v>
      </c>
      <c r="M16" s="1124"/>
    </row>
    <row r="17" spans="1:13" ht="42">
      <c r="A17" s="79" t="s">
        <v>11</v>
      </c>
      <c r="B17" s="79" t="s">
        <v>12</v>
      </c>
      <c r="C17" s="93">
        <v>12</v>
      </c>
      <c r="D17" s="79" t="s">
        <v>32</v>
      </c>
      <c r="E17" s="80" t="s">
        <v>96</v>
      </c>
      <c r="F17" s="79" t="s">
        <v>16</v>
      </c>
      <c r="G17" s="79" t="s">
        <v>17</v>
      </c>
      <c r="H17" s="79" t="s">
        <v>13</v>
      </c>
      <c r="I17" s="79" t="s">
        <v>14</v>
      </c>
      <c r="J17" s="753">
        <v>119500</v>
      </c>
      <c r="K17" s="843">
        <v>119500</v>
      </c>
      <c r="L17" s="81">
        <f t="shared" si="0"/>
        <v>0</v>
      </c>
      <c r="M17" s="1124"/>
    </row>
    <row r="18" spans="1:13" ht="42">
      <c r="A18" s="79" t="s">
        <v>11</v>
      </c>
      <c r="B18" s="79" t="s">
        <v>12</v>
      </c>
      <c r="C18" s="93">
        <v>13</v>
      </c>
      <c r="D18" s="79" t="s">
        <v>33</v>
      </c>
      <c r="E18" s="80" t="s">
        <v>97</v>
      </c>
      <c r="F18" s="79" t="s">
        <v>16</v>
      </c>
      <c r="G18" s="79" t="s">
        <v>17</v>
      </c>
      <c r="H18" s="79" t="s">
        <v>13</v>
      </c>
      <c r="I18" s="79" t="s">
        <v>14</v>
      </c>
      <c r="J18" s="753">
        <v>856000</v>
      </c>
      <c r="K18" s="843">
        <v>856000</v>
      </c>
      <c r="L18" s="81">
        <f t="shared" si="0"/>
        <v>0</v>
      </c>
      <c r="M18" s="1124"/>
    </row>
    <row r="19" spans="1:13" ht="42">
      <c r="A19" s="79" t="s">
        <v>11</v>
      </c>
      <c r="B19" s="79" t="s">
        <v>12</v>
      </c>
      <c r="C19" s="93">
        <v>14</v>
      </c>
      <c r="D19" s="79" t="s">
        <v>34</v>
      </c>
      <c r="E19" s="80" t="s">
        <v>98</v>
      </c>
      <c r="F19" s="79" t="s">
        <v>16</v>
      </c>
      <c r="G19" s="79" t="s">
        <v>17</v>
      </c>
      <c r="H19" s="79" t="s">
        <v>13</v>
      </c>
      <c r="I19" s="79" t="s">
        <v>14</v>
      </c>
      <c r="J19" s="753">
        <v>399500</v>
      </c>
      <c r="K19" s="843">
        <v>399500</v>
      </c>
      <c r="L19" s="81">
        <f t="shared" si="0"/>
        <v>0</v>
      </c>
      <c r="M19" s="1124"/>
    </row>
    <row r="20" spans="1:13" ht="42">
      <c r="A20" s="79" t="s">
        <v>11</v>
      </c>
      <c r="B20" s="79" t="s">
        <v>12</v>
      </c>
      <c r="C20" s="93">
        <v>15</v>
      </c>
      <c r="D20" s="79" t="s">
        <v>35</v>
      </c>
      <c r="E20" s="80" t="s">
        <v>99</v>
      </c>
      <c r="F20" s="79" t="s">
        <v>16</v>
      </c>
      <c r="G20" s="79" t="s">
        <v>17</v>
      </c>
      <c r="H20" s="79" t="s">
        <v>13</v>
      </c>
      <c r="I20" s="79" t="s">
        <v>14</v>
      </c>
      <c r="J20" s="753">
        <v>149300</v>
      </c>
      <c r="K20" s="843">
        <v>149300</v>
      </c>
      <c r="L20" s="81">
        <f t="shared" si="0"/>
        <v>0</v>
      </c>
      <c r="M20" s="1124"/>
    </row>
    <row r="21" spans="1:13" ht="42">
      <c r="A21" s="79" t="s">
        <v>11</v>
      </c>
      <c r="B21" s="79" t="s">
        <v>12</v>
      </c>
      <c r="C21" s="93">
        <v>16</v>
      </c>
      <c r="D21" s="79" t="s">
        <v>36</v>
      </c>
      <c r="E21" s="80" t="s">
        <v>100</v>
      </c>
      <c r="F21" s="79" t="s">
        <v>16</v>
      </c>
      <c r="G21" s="79" t="s">
        <v>17</v>
      </c>
      <c r="H21" s="79" t="s">
        <v>13</v>
      </c>
      <c r="I21" s="79" t="s">
        <v>14</v>
      </c>
      <c r="J21" s="753">
        <v>119400</v>
      </c>
      <c r="K21" s="843">
        <v>119400</v>
      </c>
      <c r="L21" s="81">
        <f t="shared" si="0"/>
        <v>0</v>
      </c>
      <c r="M21" s="1124"/>
    </row>
    <row r="22" spans="1:13" ht="42">
      <c r="A22" s="79" t="s">
        <v>11</v>
      </c>
      <c r="B22" s="79" t="s">
        <v>12</v>
      </c>
      <c r="C22" s="93">
        <v>17</v>
      </c>
      <c r="D22" s="79" t="s">
        <v>37</v>
      </c>
      <c r="E22" s="80" t="s">
        <v>101</v>
      </c>
      <c r="F22" s="79" t="s">
        <v>16</v>
      </c>
      <c r="G22" s="79" t="s">
        <v>17</v>
      </c>
      <c r="H22" s="79" t="s">
        <v>13</v>
      </c>
      <c r="I22" s="79" t="s">
        <v>14</v>
      </c>
      <c r="J22" s="753">
        <v>656000</v>
      </c>
      <c r="K22" s="843">
        <v>656000</v>
      </c>
      <c r="L22" s="81">
        <f t="shared" si="0"/>
        <v>0</v>
      </c>
      <c r="M22" s="1124"/>
    </row>
    <row r="23" spans="1:13" ht="42">
      <c r="A23" s="79" t="s">
        <v>11</v>
      </c>
      <c r="B23" s="79" t="s">
        <v>12</v>
      </c>
      <c r="C23" s="93">
        <v>18</v>
      </c>
      <c r="D23" s="79" t="s">
        <v>38</v>
      </c>
      <c r="E23" s="80" t="s">
        <v>102</v>
      </c>
      <c r="F23" s="79" t="s">
        <v>16</v>
      </c>
      <c r="G23" s="79" t="s">
        <v>17</v>
      </c>
      <c r="H23" s="79" t="s">
        <v>13</v>
      </c>
      <c r="I23" s="79" t="s">
        <v>14</v>
      </c>
      <c r="J23" s="753">
        <v>299200</v>
      </c>
      <c r="K23" s="843">
        <v>299200</v>
      </c>
      <c r="L23" s="81">
        <f t="shared" si="0"/>
        <v>0</v>
      </c>
      <c r="M23" s="1124"/>
    </row>
    <row r="24" spans="1:13" ht="42">
      <c r="A24" s="79" t="s">
        <v>11</v>
      </c>
      <c r="B24" s="79" t="s">
        <v>12</v>
      </c>
      <c r="C24" s="93">
        <v>19</v>
      </c>
      <c r="D24" s="79" t="s">
        <v>39</v>
      </c>
      <c r="E24" s="80" t="s">
        <v>103</v>
      </c>
      <c r="F24" s="79" t="s">
        <v>16</v>
      </c>
      <c r="G24" s="79" t="s">
        <v>17</v>
      </c>
      <c r="H24" s="79" t="s">
        <v>13</v>
      </c>
      <c r="I24" s="79" t="s">
        <v>14</v>
      </c>
      <c r="J24" s="753">
        <v>129500</v>
      </c>
      <c r="K24" s="843">
        <v>129500</v>
      </c>
      <c r="L24" s="81">
        <f t="shared" si="0"/>
        <v>0</v>
      </c>
      <c r="M24" s="1124"/>
    </row>
    <row r="25" spans="1:13" ht="42">
      <c r="A25" s="79" t="s">
        <v>11</v>
      </c>
      <c r="B25" s="79" t="s">
        <v>12</v>
      </c>
      <c r="C25" s="93">
        <v>20</v>
      </c>
      <c r="D25" s="79" t="s">
        <v>40</v>
      </c>
      <c r="E25" s="80" t="s">
        <v>104</v>
      </c>
      <c r="F25" s="79" t="s">
        <v>16</v>
      </c>
      <c r="G25" s="79" t="s">
        <v>41</v>
      </c>
      <c r="H25" s="79" t="s">
        <v>13</v>
      </c>
      <c r="I25" s="79" t="s">
        <v>14</v>
      </c>
      <c r="J25" s="753">
        <v>803000</v>
      </c>
      <c r="K25" s="843">
        <v>803000</v>
      </c>
      <c r="L25" s="81">
        <f t="shared" si="0"/>
        <v>0</v>
      </c>
      <c r="M25" s="1124"/>
    </row>
    <row r="26" spans="1:13" ht="42">
      <c r="A26" s="79" t="s">
        <v>11</v>
      </c>
      <c r="B26" s="79" t="s">
        <v>12</v>
      </c>
      <c r="C26" s="93">
        <v>21</v>
      </c>
      <c r="D26" s="79" t="s">
        <v>42</v>
      </c>
      <c r="E26" s="80" t="s">
        <v>105</v>
      </c>
      <c r="F26" s="79" t="s">
        <v>16</v>
      </c>
      <c r="G26" s="79" t="s">
        <v>17</v>
      </c>
      <c r="H26" s="79" t="s">
        <v>13</v>
      </c>
      <c r="I26" s="79" t="s">
        <v>14</v>
      </c>
      <c r="J26" s="753">
        <v>1798000</v>
      </c>
      <c r="K26" s="843">
        <v>1798000</v>
      </c>
      <c r="L26" s="81">
        <f t="shared" si="0"/>
        <v>0</v>
      </c>
      <c r="M26" s="1124" t="s">
        <v>164</v>
      </c>
    </row>
    <row r="27" spans="1:13" ht="42">
      <c r="A27" s="79" t="s">
        <v>11</v>
      </c>
      <c r="B27" s="79" t="s">
        <v>12</v>
      </c>
      <c r="C27" s="93">
        <v>22</v>
      </c>
      <c r="D27" s="79" t="s">
        <v>43</v>
      </c>
      <c r="E27" s="80" t="s">
        <v>106</v>
      </c>
      <c r="F27" s="79" t="s">
        <v>16</v>
      </c>
      <c r="G27" s="79" t="s">
        <v>17</v>
      </c>
      <c r="H27" s="79" t="s">
        <v>13</v>
      </c>
      <c r="I27" s="79" t="s">
        <v>14</v>
      </c>
      <c r="J27" s="753">
        <v>1698000</v>
      </c>
      <c r="K27" s="843">
        <v>1698000</v>
      </c>
      <c r="L27" s="81">
        <f t="shared" si="0"/>
        <v>0</v>
      </c>
      <c r="M27" s="1124"/>
    </row>
    <row r="28" spans="1:13" ht="42">
      <c r="A28" s="79" t="s">
        <v>11</v>
      </c>
      <c r="B28" s="79" t="s">
        <v>12</v>
      </c>
      <c r="C28" s="93">
        <v>23</v>
      </c>
      <c r="D28" s="79" t="s">
        <v>44</v>
      </c>
      <c r="E28" s="80" t="s">
        <v>107</v>
      </c>
      <c r="F28" s="79" t="s">
        <v>16</v>
      </c>
      <c r="G28" s="79" t="s">
        <v>17</v>
      </c>
      <c r="H28" s="79" t="s">
        <v>13</v>
      </c>
      <c r="I28" s="79" t="s">
        <v>14</v>
      </c>
      <c r="J28" s="753">
        <v>1245000</v>
      </c>
      <c r="K28" s="843">
        <v>1245000</v>
      </c>
      <c r="L28" s="81">
        <f t="shared" si="0"/>
        <v>0</v>
      </c>
      <c r="M28" s="1124"/>
    </row>
    <row r="29" spans="1:13" ht="42">
      <c r="A29" s="79" t="s">
        <v>11</v>
      </c>
      <c r="B29" s="79" t="s">
        <v>12</v>
      </c>
      <c r="C29" s="93">
        <v>24</v>
      </c>
      <c r="D29" s="79" t="s">
        <v>45</v>
      </c>
      <c r="E29" s="80" t="s">
        <v>108</v>
      </c>
      <c r="F29" s="79" t="s">
        <v>16</v>
      </c>
      <c r="G29" s="79" t="s">
        <v>17</v>
      </c>
      <c r="H29" s="79" t="s">
        <v>13</v>
      </c>
      <c r="I29" s="79" t="s">
        <v>14</v>
      </c>
      <c r="J29" s="753">
        <v>1320000</v>
      </c>
      <c r="K29" s="843">
        <v>1320000</v>
      </c>
      <c r="L29" s="81">
        <f t="shared" si="0"/>
        <v>0</v>
      </c>
      <c r="M29" s="1124"/>
    </row>
    <row r="30" spans="1:13" ht="42">
      <c r="A30" s="79" t="s">
        <v>11</v>
      </c>
      <c r="B30" s="79" t="s">
        <v>12</v>
      </c>
      <c r="C30" s="93">
        <v>25</v>
      </c>
      <c r="D30" s="79" t="s">
        <v>46</v>
      </c>
      <c r="E30" s="80" t="s">
        <v>109</v>
      </c>
      <c r="F30" s="79" t="s">
        <v>16</v>
      </c>
      <c r="G30" s="79" t="s">
        <v>17</v>
      </c>
      <c r="H30" s="79" t="s">
        <v>13</v>
      </c>
      <c r="I30" s="79" t="s">
        <v>14</v>
      </c>
      <c r="J30" s="753">
        <v>1970000</v>
      </c>
      <c r="K30" s="843">
        <v>1970000</v>
      </c>
      <c r="L30" s="81">
        <f t="shared" si="0"/>
        <v>0</v>
      </c>
      <c r="M30" s="1124"/>
    </row>
    <row r="31" spans="1:13" s="30" customFormat="1" ht="63">
      <c r="A31" s="748" t="s">
        <v>11</v>
      </c>
      <c r="B31" s="748" t="s">
        <v>12</v>
      </c>
      <c r="C31" s="749">
        <v>26</v>
      </c>
      <c r="D31" s="748" t="s">
        <v>47</v>
      </c>
      <c r="E31" s="750" t="s">
        <v>110</v>
      </c>
      <c r="F31" s="748" t="s">
        <v>16</v>
      </c>
      <c r="G31" s="748" t="s">
        <v>17</v>
      </c>
      <c r="H31" s="748" t="s">
        <v>13</v>
      </c>
      <c r="I31" s="748" t="s">
        <v>14</v>
      </c>
      <c r="J31" s="380">
        <v>10800000</v>
      </c>
      <c r="K31" s="844">
        <v>10799500</v>
      </c>
      <c r="L31" s="751">
        <f t="shared" si="0"/>
        <v>500</v>
      </c>
      <c r="M31" s="1124"/>
    </row>
    <row r="32" spans="1:13" ht="42">
      <c r="A32" s="79" t="s">
        <v>11</v>
      </c>
      <c r="B32" s="79" t="s">
        <v>12</v>
      </c>
      <c r="C32" s="93">
        <v>27</v>
      </c>
      <c r="D32" s="79" t="s">
        <v>48</v>
      </c>
      <c r="E32" s="80" t="s">
        <v>111</v>
      </c>
      <c r="F32" s="79" t="s">
        <v>16</v>
      </c>
      <c r="G32" s="79" t="s">
        <v>17</v>
      </c>
      <c r="H32" s="79" t="s">
        <v>13</v>
      </c>
      <c r="I32" s="79" t="s">
        <v>14</v>
      </c>
      <c r="J32" s="753">
        <v>1745000</v>
      </c>
      <c r="K32" s="843">
        <v>1745000</v>
      </c>
      <c r="L32" s="81">
        <f t="shared" si="0"/>
        <v>0</v>
      </c>
      <c r="M32" s="1124"/>
    </row>
    <row r="33" spans="1:13" ht="42">
      <c r="A33" s="79" t="s">
        <v>11</v>
      </c>
      <c r="B33" s="79" t="s">
        <v>12</v>
      </c>
      <c r="C33" s="93">
        <v>28</v>
      </c>
      <c r="D33" s="79" t="s">
        <v>49</v>
      </c>
      <c r="E33" s="80" t="s">
        <v>112</v>
      </c>
      <c r="F33" s="79" t="s">
        <v>16</v>
      </c>
      <c r="G33" s="79" t="s">
        <v>17</v>
      </c>
      <c r="H33" s="79" t="s">
        <v>13</v>
      </c>
      <c r="I33" s="79" t="s">
        <v>14</v>
      </c>
      <c r="J33" s="753">
        <v>1299700</v>
      </c>
      <c r="K33" s="843">
        <v>1299700</v>
      </c>
      <c r="L33" s="81">
        <f t="shared" si="0"/>
        <v>0</v>
      </c>
      <c r="M33" s="1124"/>
    </row>
    <row r="34" spans="1:13" ht="42">
      <c r="A34" s="79" t="s">
        <v>11</v>
      </c>
      <c r="B34" s="79" t="s">
        <v>12</v>
      </c>
      <c r="C34" s="93">
        <v>29</v>
      </c>
      <c r="D34" s="79" t="s">
        <v>50</v>
      </c>
      <c r="E34" s="80" t="s">
        <v>113</v>
      </c>
      <c r="F34" s="79" t="s">
        <v>16</v>
      </c>
      <c r="G34" s="79" t="s">
        <v>17</v>
      </c>
      <c r="H34" s="79" t="s">
        <v>13</v>
      </c>
      <c r="I34" s="79" t="s">
        <v>14</v>
      </c>
      <c r="J34" s="753">
        <v>1320000</v>
      </c>
      <c r="K34" s="843">
        <v>1320000</v>
      </c>
      <c r="L34" s="81">
        <f t="shared" si="0"/>
        <v>0</v>
      </c>
      <c r="M34" s="1124"/>
    </row>
    <row r="35" spans="1:13" ht="63">
      <c r="A35" s="79" t="s">
        <v>11</v>
      </c>
      <c r="B35" s="79" t="s">
        <v>12</v>
      </c>
      <c r="C35" s="93">
        <v>30</v>
      </c>
      <c r="D35" s="79" t="s">
        <v>52</v>
      </c>
      <c r="E35" s="80" t="s">
        <v>114</v>
      </c>
      <c r="F35" s="79" t="s">
        <v>16</v>
      </c>
      <c r="G35" s="79" t="s">
        <v>17</v>
      </c>
      <c r="H35" s="79" t="s">
        <v>13</v>
      </c>
      <c r="I35" s="79" t="s">
        <v>14</v>
      </c>
      <c r="J35" s="753">
        <v>399500</v>
      </c>
      <c r="K35" s="843">
        <v>399500</v>
      </c>
      <c r="L35" s="81">
        <f t="shared" si="0"/>
        <v>0</v>
      </c>
      <c r="M35" s="1124"/>
    </row>
    <row r="36" spans="1:13" ht="63">
      <c r="A36" s="79" t="s">
        <v>11</v>
      </c>
      <c r="B36" s="79" t="s">
        <v>12</v>
      </c>
      <c r="C36" s="93">
        <v>31</v>
      </c>
      <c r="D36" s="79" t="s">
        <v>53</v>
      </c>
      <c r="E36" s="80" t="s">
        <v>115</v>
      </c>
      <c r="F36" s="79" t="s">
        <v>16</v>
      </c>
      <c r="G36" s="79" t="s">
        <v>17</v>
      </c>
      <c r="H36" s="79" t="s">
        <v>13</v>
      </c>
      <c r="I36" s="79" t="s">
        <v>14</v>
      </c>
      <c r="J36" s="753">
        <v>149500</v>
      </c>
      <c r="K36" s="843">
        <v>149500</v>
      </c>
      <c r="L36" s="81">
        <f t="shared" si="0"/>
        <v>0</v>
      </c>
      <c r="M36" s="1124"/>
    </row>
    <row r="37" spans="1:13">
      <c r="A37" s="79"/>
      <c r="B37" s="79"/>
      <c r="C37" s="1133" t="s">
        <v>66</v>
      </c>
      <c r="D37" s="1134"/>
      <c r="E37" s="1134"/>
      <c r="F37" s="1134"/>
      <c r="G37" s="1134"/>
      <c r="H37" s="1134"/>
      <c r="I37" s="1135"/>
      <c r="J37" s="754">
        <f>SUM(J6:J36)</f>
        <v>35772400</v>
      </c>
      <c r="K37" s="845">
        <f>SUM(K6:K36)</f>
        <v>35771900</v>
      </c>
      <c r="L37" s="111">
        <f>SUM(L6:L36)</f>
        <v>500</v>
      </c>
      <c r="M37" s="523">
        <f>K37-[4]NFMA55!$K$40</f>
        <v>33973900</v>
      </c>
    </row>
    <row r="38" spans="1:13">
      <c r="A38" s="79"/>
      <c r="B38" s="79"/>
      <c r="C38" s="270"/>
      <c r="D38" s="271"/>
      <c r="E38" s="1130" t="s">
        <v>75</v>
      </c>
      <c r="F38" s="1131"/>
      <c r="G38" s="1132"/>
      <c r="H38" s="79"/>
      <c r="I38" s="79"/>
      <c r="J38" s="753"/>
      <c r="K38" s="845"/>
      <c r="L38" s="111"/>
      <c r="M38" s="268"/>
    </row>
    <row r="39" spans="1:13" s="78" customFormat="1" ht="42">
      <c r="A39" s="77" t="s">
        <v>0</v>
      </c>
      <c r="B39" s="77" t="s">
        <v>1</v>
      </c>
      <c r="C39" s="77" t="s">
        <v>128</v>
      </c>
      <c r="D39" s="77" t="s">
        <v>2</v>
      </c>
      <c r="E39" s="77" t="s">
        <v>3</v>
      </c>
      <c r="F39" s="77" t="s">
        <v>4</v>
      </c>
      <c r="G39" s="77" t="s">
        <v>5</v>
      </c>
      <c r="H39" s="77" t="s">
        <v>6</v>
      </c>
      <c r="I39" s="77" t="s">
        <v>7</v>
      </c>
      <c r="J39" s="752" t="s">
        <v>8</v>
      </c>
      <c r="K39" s="842" t="s">
        <v>9</v>
      </c>
      <c r="L39" s="77" t="s">
        <v>10</v>
      </c>
    </row>
    <row r="40" spans="1:13" ht="63">
      <c r="A40" s="79" t="s">
        <v>11</v>
      </c>
      <c r="B40" s="79" t="s">
        <v>12</v>
      </c>
      <c r="C40" s="93">
        <v>32</v>
      </c>
      <c r="D40" s="79" t="s">
        <v>51</v>
      </c>
      <c r="E40" s="80" t="s">
        <v>1378</v>
      </c>
      <c r="F40" s="79" t="s">
        <v>20</v>
      </c>
      <c r="G40" s="79" t="s">
        <v>21</v>
      </c>
      <c r="H40" s="79" t="s">
        <v>13</v>
      </c>
      <c r="I40" s="79" t="s">
        <v>14</v>
      </c>
      <c r="J40" s="753">
        <v>8820000</v>
      </c>
      <c r="K40" s="843">
        <v>8820000</v>
      </c>
      <c r="L40" s="81">
        <f>J40-K40</f>
        <v>0</v>
      </c>
      <c r="M40" s="71" t="s">
        <v>1373</v>
      </c>
    </row>
    <row r="41" spans="1:13" ht="63">
      <c r="A41" s="79" t="s">
        <v>11</v>
      </c>
      <c r="B41" s="79" t="s">
        <v>12</v>
      </c>
      <c r="C41" s="93">
        <v>33</v>
      </c>
      <c r="D41" s="79" t="s">
        <v>19</v>
      </c>
      <c r="E41" s="80" t="s">
        <v>1375</v>
      </c>
      <c r="F41" s="79" t="s">
        <v>20</v>
      </c>
      <c r="G41" s="79" t="s">
        <v>21</v>
      </c>
      <c r="H41" s="79" t="s">
        <v>13</v>
      </c>
      <c r="I41" s="79" t="s">
        <v>14</v>
      </c>
      <c r="J41" s="753">
        <v>1485000</v>
      </c>
      <c r="K41" s="843">
        <v>1485000</v>
      </c>
      <c r="L41" s="81">
        <f>J41-K41</f>
        <v>0</v>
      </c>
      <c r="M41" s="71" t="s">
        <v>1372</v>
      </c>
    </row>
    <row r="42" spans="1:13" ht="46.5" customHeight="1">
      <c r="A42" s="79" t="s">
        <v>11</v>
      </c>
      <c r="B42" s="79" t="s">
        <v>12</v>
      </c>
      <c r="C42" s="93">
        <v>34</v>
      </c>
      <c r="D42" s="79" t="s">
        <v>22</v>
      </c>
      <c r="E42" s="80" t="s">
        <v>1377</v>
      </c>
      <c r="F42" s="79" t="s">
        <v>20</v>
      </c>
      <c r="G42" s="79" t="s">
        <v>21</v>
      </c>
      <c r="H42" s="79" t="s">
        <v>13</v>
      </c>
      <c r="I42" s="79" t="s">
        <v>14</v>
      </c>
      <c r="J42" s="753">
        <v>3895000</v>
      </c>
      <c r="K42" s="843">
        <v>3895000</v>
      </c>
      <c r="L42" s="81">
        <f>J42-K42</f>
        <v>0</v>
      </c>
      <c r="M42" s="71" t="s">
        <v>1372</v>
      </c>
    </row>
    <row r="43" spans="1:13" ht="84">
      <c r="A43" s="79" t="s">
        <v>11</v>
      </c>
      <c r="B43" s="79" t="s">
        <v>12</v>
      </c>
      <c r="C43" s="93">
        <v>35</v>
      </c>
      <c r="D43" s="79" t="s">
        <v>54</v>
      </c>
      <c r="E43" s="80" t="s">
        <v>1376</v>
      </c>
      <c r="F43" s="79" t="s">
        <v>20</v>
      </c>
      <c r="G43" s="79" t="s">
        <v>21</v>
      </c>
      <c r="H43" s="79" t="s">
        <v>13</v>
      </c>
      <c r="I43" s="79" t="s">
        <v>14</v>
      </c>
      <c r="J43" s="753">
        <v>7945779.1100000003</v>
      </c>
      <c r="K43" s="843">
        <v>7945779.1100000003</v>
      </c>
      <c r="L43" s="81">
        <f t="shared" si="0"/>
        <v>0</v>
      </c>
      <c r="M43" s="1124" t="s">
        <v>1374</v>
      </c>
    </row>
    <row r="44" spans="1:13" ht="84">
      <c r="A44" s="79" t="s">
        <v>11</v>
      </c>
      <c r="B44" s="79" t="s">
        <v>12</v>
      </c>
      <c r="C44" s="93">
        <v>36</v>
      </c>
      <c r="D44" s="79" t="s">
        <v>55</v>
      </c>
      <c r="E44" s="80" t="s">
        <v>116</v>
      </c>
      <c r="F44" s="79" t="s">
        <v>20</v>
      </c>
      <c r="G44" s="79" t="s">
        <v>21</v>
      </c>
      <c r="H44" s="79" t="s">
        <v>13</v>
      </c>
      <c r="I44" s="79" t="s">
        <v>14</v>
      </c>
      <c r="J44" s="753">
        <v>0</v>
      </c>
      <c r="K44" s="843">
        <v>0</v>
      </c>
      <c r="L44" s="81">
        <f t="shared" si="0"/>
        <v>0</v>
      </c>
      <c r="M44" s="1124"/>
    </row>
    <row r="45" spans="1:13" ht="63">
      <c r="A45" s="79" t="s">
        <v>11</v>
      </c>
      <c r="B45" s="79" t="s">
        <v>12</v>
      </c>
      <c r="C45" s="93">
        <v>37</v>
      </c>
      <c r="D45" s="79" t="s">
        <v>56</v>
      </c>
      <c r="E45" s="80" t="s">
        <v>117</v>
      </c>
      <c r="F45" s="79" t="s">
        <v>20</v>
      </c>
      <c r="G45" s="79" t="s">
        <v>21</v>
      </c>
      <c r="H45" s="79" t="s">
        <v>13</v>
      </c>
      <c r="I45" s="79" t="s">
        <v>14</v>
      </c>
      <c r="J45" s="753">
        <v>948000</v>
      </c>
      <c r="K45" s="843">
        <v>948000</v>
      </c>
      <c r="L45" s="81">
        <f t="shared" si="0"/>
        <v>0</v>
      </c>
      <c r="M45" s="1124"/>
    </row>
    <row r="46" spans="1:13">
      <c r="A46" s="225"/>
      <c r="B46" s="269"/>
      <c r="C46" s="1128" t="s">
        <v>66</v>
      </c>
      <c r="D46" s="1128"/>
      <c r="E46" s="1128"/>
      <c r="F46" s="1128"/>
      <c r="G46" s="1128"/>
      <c r="H46" s="1128"/>
      <c r="I46" s="1129"/>
      <c r="J46" s="754">
        <f>SUM(J40:J45)</f>
        <v>23093779.109999999</v>
      </c>
      <c r="K46" s="846">
        <f>SUM(K40:K45)</f>
        <v>23093779.109999999</v>
      </c>
      <c r="L46" s="110">
        <f>SUM(L40:L45)</f>
        <v>0</v>
      </c>
      <c r="M46" s="268"/>
    </row>
    <row r="47" spans="1:13" s="85" customFormat="1" ht="27" customHeight="1">
      <c r="A47" s="87"/>
      <c r="B47" s="88"/>
      <c r="C47" s="88"/>
      <c r="D47" s="88"/>
      <c r="E47" s="87" t="s">
        <v>57</v>
      </c>
      <c r="F47" s="83"/>
      <c r="G47" s="83"/>
      <c r="H47" s="83"/>
      <c r="I47" s="83"/>
      <c r="J47" s="755">
        <f>J37+J46</f>
        <v>58866179.109999999</v>
      </c>
      <c r="K47" s="847">
        <f>K37+K46</f>
        <v>58865679.109999999</v>
      </c>
      <c r="L47" s="84">
        <f>L37+L46</f>
        <v>500</v>
      </c>
    </row>
    <row r="49" spans="3:13">
      <c r="J49" s="756">
        <v>58866179.109999999</v>
      </c>
    </row>
    <row r="50" spans="3:13">
      <c r="J50" s="756">
        <f>J47-J49</f>
        <v>0</v>
      </c>
    </row>
    <row r="52" spans="3:13" ht="42">
      <c r="C52" s="77" t="s">
        <v>128</v>
      </c>
      <c r="D52" s="77" t="s">
        <v>2</v>
      </c>
      <c r="E52" s="77" t="s">
        <v>3</v>
      </c>
      <c r="F52" s="77" t="s">
        <v>4</v>
      </c>
      <c r="G52" s="77" t="s">
        <v>5</v>
      </c>
      <c r="H52" s="77" t="s">
        <v>6</v>
      </c>
      <c r="I52" s="77" t="s">
        <v>7</v>
      </c>
      <c r="J52" s="752" t="s">
        <v>8</v>
      </c>
      <c r="K52" s="842" t="s">
        <v>9</v>
      </c>
      <c r="L52" s="77" t="s">
        <v>10</v>
      </c>
    </row>
    <row r="53" spans="3:13" ht="42">
      <c r="C53" s="93">
        <v>1</v>
      </c>
      <c r="D53" s="79" t="s">
        <v>1493</v>
      </c>
      <c r="E53" s="80" t="s">
        <v>1477</v>
      </c>
      <c r="F53" s="80" t="s">
        <v>20</v>
      </c>
      <c r="G53" s="80" t="s">
        <v>21</v>
      </c>
      <c r="H53" s="80" t="s">
        <v>13</v>
      </c>
      <c r="I53" s="80" t="s">
        <v>14</v>
      </c>
      <c r="J53" s="800">
        <v>147600</v>
      </c>
      <c r="K53" s="849">
        <v>147600</v>
      </c>
      <c r="L53" s="800">
        <f>J53-K53</f>
        <v>0</v>
      </c>
      <c r="M53" s="71" t="s">
        <v>1510</v>
      </c>
    </row>
    <row r="54" spans="3:13" ht="42">
      <c r="C54" s="93">
        <v>2</v>
      </c>
      <c r="D54" s="79" t="s">
        <v>1494</v>
      </c>
      <c r="E54" s="80" t="s">
        <v>1478</v>
      </c>
      <c r="F54" s="80" t="s">
        <v>20</v>
      </c>
      <c r="G54" s="80" t="s">
        <v>21</v>
      </c>
      <c r="H54" s="80" t="s">
        <v>13</v>
      </c>
      <c r="I54" s="80" t="s">
        <v>14</v>
      </c>
      <c r="J54" s="800">
        <v>251200</v>
      </c>
      <c r="K54" s="849">
        <v>251200</v>
      </c>
      <c r="L54" s="800">
        <f t="shared" ref="L54:L70" si="1">J54-K54</f>
        <v>0</v>
      </c>
    </row>
    <row r="55" spans="3:13" ht="42">
      <c r="C55" s="93">
        <v>3</v>
      </c>
      <c r="D55" s="79" t="s">
        <v>1495</v>
      </c>
      <c r="E55" s="80" t="s">
        <v>1479</v>
      </c>
      <c r="F55" s="80" t="s">
        <v>20</v>
      </c>
      <c r="G55" s="80" t="s">
        <v>21</v>
      </c>
      <c r="H55" s="80" t="s">
        <v>13</v>
      </c>
      <c r="I55" s="80" t="s">
        <v>14</v>
      </c>
      <c r="J55" s="800">
        <v>101475</v>
      </c>
      <c r="K55" s="849">
        <v>101475</v>
      </c>
      <c r="L55" s="800">
        <f t="shared" si="1"/>
        <v>0</v>
      </c>
    </row>
    <row r="56" spans="3:13" ht="42">
      <c r="C56" s="93">
        <v>4</v>
      </c>
      <c r="D56" s="79" t="s">
        <v>1496</v>
      </c>
      <c r="E56" s="80" t="s">
        <v>1480</v>
      </c>
      <c r="F56" s="80" t="s">
        <v>20</v>
      </c>
      <c r="G56" s="80" t="s">
        <v>21</v>
      </c>
      <c r="H56" s="80" t="s">
        <v>13</v>
      </c>
      <c r="I56" s="80" t="s">
        <v>14</v>
      </c>
      <c r="J56" s="800">
        <v>101475</v>
      </c>
      <c r="K56" s="849">
        <v>101475</v>
      </c>
      <c r="L56" s="800">
        <f t="shared" si="1"/>
        <v>0</v>
      </c>
    </row>
    <row r="57" spans="3:13" ht="42">
      <c r="C57" s="93">
        <v>5</v>
      </c>
      <c r="D57" s="79" t="s">
        <v>1497</v>
      </c>
      <c r="E57" s="80" t="s">
        <v>1481</v>
      </c>
      <c r="F57" s="80" t="s">
        <v>20</v>
      </c>
      <c r="G57" s="80" t="s">
        <v>21</v>
      </c>
      <c r="H57" s="80" t="s">
        <v>13</v>
      </c>
      <c r="I57" s="80" t="s">
        <v>14</v>
      </c>
      <c r="J57" s="800">
        <v>212040</v>
      </c>
      <c r="K57" s="849">
        <v>212040</v>
      </c>
      <c r="L57" s="800">
        <f t="shared" si="1"/>
        <v>0</v>
      </c>
    </row>
    <row r="58" spans="3:13" ht="42">
      <c r="C58" s="93">
        <v>6</v>
      </c>
      <c r="D58" s="79" t="s">
        <v>1498</v>
      </c>
      <c r="E58" s="80" t="s">
        <v>1482</v>
      </c>
      <c r="F58" s="80" t="s">
        <v>20</v>
      </c>
      <c r="G58" s="80" t="s">
        <v>21</v>
      </c>
      <c r="H58" s="80" t="s">
        <v>13</v>
      </c>
      <c r="I58" s="80" t="s">
        <v>14</v>
      </c>
      <c r="J58" s="800">
        <v>499400</v>
      </c>
      <c r="K58" s="849">
        <v>499400</v>
      </c>
      <c r="L58" s="800">
        <f t="shared" si="1"/>
        <v>0</v>
      </c>
    </row>
    <row r="59" spans="3:13" ht="42">
      <c r="C59" s="93">
        <v>7</v>
      </c>
      <c r="D59" s="79" t="s">
        <v>1499</v>
      </c>
      <c r="E59" s="80" t="s">
        <v>1483</v>
      </c>
      <c r="F59" s="80" t="s">
        <v>20</v>
      </c>
      <c r="G59" s="80" t="s">
        <v>21</v>
      </c>
      <c r="H59" s="80" t="s">
        <v>13</v>
      </c>
      <c r="I59" s="80" t="s">
        <v>14</v>
      </c>
      <c r="J59" s="800">
        <v>250000</v>
      </c>
      <c r="K59" s="849">
        <v>250000</v>
      </c>
      <c r="L59" s="800">
        <f t="shared" si="1"/>
        <v>0</v>
      </c>
    </row>
    <row r="60" spans="3:13" ht="42">
      <c r="C60" s="93">
        <v>8</v>
      </c>
      <c r="D60" s="79" t="s">
        <v>1500</v>
      </c>
      <c r="E60" s="80" t="s">
        <v>1484</v>
      </c>
      <c r="F60" s="80" t="s">
        <v>20</v>
      </c>
      <c r="G60" s="80" t="s">
        <v>21</v>
      </c>
      <c r="H60" s="80" t="s">
        <v>13</v>
      </c>
      <c r="I60" s="80" t="s">
        <v>14</v>
      </c>
      <c r="J60" s="800">
        <v>200000</v>
      </c>
      <c r="K60" s="849">
        <v>200000</v>
      </c>
      <c r="L60" s="800">
        <f t="shared" si="1"/>
        <v>0</v>
      </c>
    </row>
    <row r="61" spans="3:13" ht="42">
      <c r="C61" s="93">
        <v>9</v>
      </c>
      <c r="D61" s="79" t="s">
        <v>1501</v>
      </c>
      <c r="E61" s="80" t="s">
        <v>1485</v>
      </c>
      <c r="F61" s="80" t="s">
        <v>20</v>
      </c>
      <c r="G61" s="80" t="s">
        <v>21</v>
      </c>
      <c r="H61" s="80" t="s">
        <v>13</v>
      </c>
      <c r="I61" s="80" t="s">
        <v>14</v>
      </c>
      <c r="J61" s="800">
        <v>153300</v>
      </c>
      <c r="K61" s="849">
        <v>153300</v>
      </c>
      <c r="L61" s="800">
        <f t="shared" si="1"/>
        <v>0</v>
      </c>
    </row>
    <row r="62" spans="3:13" ht="42">
      <c r="C62" s="93">
        <v>10</v>
      </c>
      <c r="D62" s="79" t="s">
        <v>1502</v>
      </c>
      <c r="E62" s="80" t="s">
        <v>1486</v>
      </c>
      <c r="F62" s="80" t="s">
        <v>20</v>
      </c>
      <c r="G62" s="80" t="s">
        <v>21</v>
      </c>
      <c r="H62" s="80" t="s">
        <v>13</v>
      </c>
      <c r="I62" s="80" t="s">
        <v>14</v>
      </c>
      <c r="J62" s="800">
        <v>101475</v>
      </c>
      <c r="K62" s="849">
        <v>101475</v>
      </c>
      <c r="L62" s="956">
        <f t="shared" si="1"/>
        <v>0</v>
      </c>
    </row>
    <row r="63" spans="3:13" ht="42">
      <c r="C63" s="93">
        <v>11</v>
      </c>
      <c r="D63" s="79" t="s">
        <v>1503</v>
      </c>
      <c r="E63" s="80" t="s">
        <v>1487</v>
      </c>
      <c r="F63" s="80" t="s">
        <v>20</v>
      </c>
      <c r="G63" s="80" t="s">
        <v>21</v>
      </c>
      <c r="H63" s="80" t="s">
        <v>13</v>
      </c>
      <c r="I63" s="80" t="s">
        <v>14</v>
      </c>
      <c r="J63" s="800">
        <v>247200</v>
      </c>
      <c r="K63" s="849">
        <v>247200</v>
      </c>
      <c r="L63" s="800">
        <f t="shared" si="1"/>
        <v>0</v>
      </c>
    </row>
    <row r="64" spans="3:13" ht="42">
      <c r="C64" s="93">
        <v>12</v>
      </c>
      <c r="D64" s="79" t="s">
        <v>1504</v>
      </c>
      <c r="E64" s="80" t="s">
        <v>1488</v>
      </c>
      <c r="F64" s="80" t="s">
        <v>20</v>
      </c>
      <c r="G64" s="80" t="s">
        <v>21</v>
      </c>
      <c r="H64" s="80" t="s">
        <v>13</v>
      </c>
      <c r="I64" s="80" t="s">
        <v>14</v>
      </c>
      <c r="J64" s="800">
        <v>499772</v>
      </c>
      <c r="K64" s="849">
        <v>499772</v>
      </c>
      <c r="L64" s="800">
        <f t="shared" si="1"/>
        <v>0</v>
      </c>
    </row>
    <row r="65" spans="3:12" ht="42">
      <c r="C65" s="93">
        <v>13</v>
      </c>
      <c r="D65" s="79" t="s">
        <v>1505</v>
      </c>
      <c r="E65" s="80" t="s">
        <v>1489</v>
      </c>
      <c r="F65" s="80" t="s">
        <v>20</v>
      </c>
      <c r="G65" s="80" t="s">
        <v>21</v>
      </c>
      <c r="H65" s="80" t="s">
        <v>13</v>
      </c>
      <c r="I65" s="80" t="s">
        <v>14</v>
      </c>
      <c r="J65" s="800">
        <v>487812</v>
      </c>
      <c r="K65" s="849">
        <v>487500</v>
      </c>
      <c r="L65" s="800">
        <f t="shared" si="1"/>
        <v>312</v>
      </c>
    </row>
    <row r="66" spans="3:12" ht="42">
      <c r="C66" s="93">
        <v>14</v>
      </c>
      <c r="D66" s="79" t="s">
        <v>1506</v>
      </c>
      <c r="E66" s="80" t="s">
        <v>1490</v>
      </c>
      <c r="F66" s="80" t="s">
        <v>20</v>
      </c>
      <c r="G66" s="80" t="s">
        <v>21</v>
      </c>
      <c r="H66" s="80" t="s">
        <v>13</v>
      </c>
      <c r="I66" s="80" t="s">
        <v>14</v>
      </c>
      <c r="J66" s="800">
        <v>480000</v>
      </c>
      <c r="K66" s="849">
        <v>480000</v>
      </c>
      <c r="L66" s="800">
        <f t="shared" si="1"/>
        <v>0</v>
      </c>
    </row>
    <row r="67" spans="3:12" ht="42">
      <c r="C67" s="93">
        <v>15</v>
      </c>
      <c r="D67" s="79" t="s">
        <v>1507</v>
      </c>
      <c r="E67" s="80" t="s">
        <v>1491</v>
      </c>
      <c r="F67" s="80" t="s">
        <v>20</v>
      </c>
      <c r="G67" s="80" t="s">
        <v>21</v>
      </c>
      <c r="H67" s="80" t="s">
        <v>13</v>
      </c>
      <c r="I67" s="80" t="s">
        <v>14</v>
      </c>
      <c r="J67" s="800">
        <v>455400</v>
      </c>
      <c r="K67" s="849">
        <v>455400</v>
      </c>
      <c r="L67" s="800">
        <f t="shared" si="1"/>
        <v>0</v>
      </c>
    </row>
    <row r="68" spans="3:12" ht="42">
      <c r="C68" s="93">
        <v>16</v>
      </c>
      <c r="D68" s="79" t="s">
        <v>1508</v>
      </c>
      <c r="E68" s="80" t="s">
        <v>1492</v>
      </c>
      <c r="F68" s="80" t="s">
        <v>20</v>
      </c>
      <c r="G68" s="80" t="s">
        <v>21</v>
      </c>
      <c r="H68" s="80" t="s">
        <v>13</v>
      </c>
      <c r="I68" s="80" t="s">
        <v>14</v>
      </c>
      <c r="J68" s="800">
        <v>336500</v>
      </c>
      <c r="K68" s="849">
        <v>336500</v>
      </c>
      <c r="L68" s="800">
        <f t="shared" si="1"/>
        <v>0</v>
      </c>
    </row>
    <row r="69" spans="3:12" ht="51" customHeight="1">
      <c r="C69" s="93">
        <v>17</v>
      </c>
      <c r="D69" s="79" t="s">
        <v>1512</v>
      </c>
      <c r="E69" s="80" t="s">
        <v>1514</v>
      </c>
      <c r="F69" s="79" t="s">
        <v>20</v>
      </c>
      <c r="G69" s="79" t="s">
        <v>21</v>
      </c>
      <c r="H69" s="79" t="s">
        <v>13</v>
      </c>
      <c r="I69" s="79" t="s">
        <v>14</v>
      </c>
      <c r="J69" s="753">
        <v>240539.88</v>
      </c>
      <c r="K69" s="843">
        <v>240539.88</v>
      </c>
      <c r="L69" s="956">
        <f t="shared" si="1"/>
        <v>0</v>
      </c>
    </row>
    <row r="70" spans="3:12" ht="42">
      <c r="C70" s="93">
        <v>18</v>
      </c>
      <c r="D70" s="79" t="s">
        <v>1513</v>
      </c>
      <c r="E70" s="80" t="s">
        <v>1515</v>
      </c>
      <c r="F70" s="79" t="s">
        <v>20</v>
      </c>
      <c r="G70" s="79" t="s">
        <v>21</v>
      </c>
      <c r="H70" s="79" t="s">
        <v>13</v>
      </c>
      <c r="I70" s="79" t="s">
        <v>14</v>
      </c>
      <c r="J70" s="753">
        <v>234600</v>
      </c>
      <c r="K70" s="843">
        <v>234600</v>
      </c>
      <c r="L70" s="800">
        <f t="shared" si="1"/>
        <v>0</v>
      </c>
    </row>
    <row r="71" spans="3:12">
      <c r="C71" s="1136" t="s">
        <v>66</v>
      </c>
      <c r="D71" s="1128"/>
      <c r="E71" s="1128"/>
      <c r="F71" s="1128"/>
      <c r="G71" s="1128"/>
      <c r="H71" s="1128"/>
      <c r="I71" s="1129"/>
      <c r="J71" s="580">
        <f>SUM(J53:J70)</f>
        <v>4999788.88</v>
      </c>
      <c r="K71" s="850">
        <f>SUM(K53:K70)</f>
        <v>4999476.88</v>
      </c>
      <c r="L71" s="580">
        <f>SUM(L53:L70)</f>
        <v>312</v>
      </c>
    </row>
  </sheetData>
  <sortState ref="A6:L45">
    <sortCondition ref="D6:D45"/>
  </sortState>
  <mergeCells count="12">
    <mergeCell ref="C46:I46"/>
    <mergeCell ref="E38:G38"/>
    <mergeCell ref="C37:I37"/>
    <mergeCell ref="M43:M45"/>
    <mergeCell ref="C71:I71"/>
    <mergeCell ref="E1:L1"/>
    <mergeCell ref="E2:L2"/>
    <mergeCell ref="E3:L3"/>
    <mergeCell ref="M26:M36"/>
    <mergeCell ref="M8:M25"/>
    <mergeCell ref="M6:M7"/>
    <mergeCell ref="C5:E5"/>
  </mergeCells>
  <pageMargins left="0.70866141732283472" right="0.70866141732283472" top="0.74803149606299213" bottom="0.74803149606299213" header="0.31496062992125984" footer="0.31496062992125984"/>
  <pageSetup scale="6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17</vt:i4>
      </vt:variant>
    </vt:vector>
  </HeadingPairs>
  <TitlesOfParts>
    <vt:vector size="33" baseType="lpstr">
      <vt:lpstr>งบประมาณ</vt:lpstr>
      <vt:lpstr>งบประมาณกิจกรรม</vt:lpstr>
      <vt:lpstr>Sheet1</vt:lpstr>
      <vt:lpstr>เบิกจ่ายไตรมาส 3-4</vt:lpstr>
      <vt:lpstr>โควิค 65 ก.พ.-มิ.ย.65</vt:lpstr>
      <vt:lpstr>ยาเสพติด</vt:lpstr>
      <vt:lpstr>เบิกจ่าย 2566</vt:lpstr>
      <vt:lpstr>บุคลากร</vt:lpstr>
      <vt:lpstr>งบครุภัณฑ์-ก่อสร้าง</vt:lpstr>
      <vt:lpstr> ยาเสพยติดงวด3</vt:lpstr>
      <vt:lpstr>เงินกัน ปี 65</vt:lpstr>
      <vt:lpstr>วัคชีค</vt:lpstr>
      <vt:lpstr>ค่าเสี่ยงภัย</vt:lpstr>
      <vt:lpstr>จัดสรร ค่าสาธารณู สสอ.</vt:lpstr>
      <vt:lpstr>fix cost</vt:lpstr>
      <vt:lpstr>Sheet2</vt:lpstr>
      <vt:lpstr>Sheet1!Print_Area</vt:lpstr>
      <vt:lpstr>'โควิค 65 ก.พ.-มิ.ย.65'!Print_Area</vt:lpstr>
      <vt:lpstr>'งบครุภัณฑ์-ก่อสร้าง'!Print_Area</vt:lpstr>
      <vt:lpstr>งบประมาณ!Print_Area</vt:lpstr>
      <vt:lpstr>งบประมาณกิจกรรม!Print_Area</vt:lpstr>
      <vt:lpstr>'เงินกัน ปี 65'!Print_Area</vt:lpstr>
      <vt:lpstr>'จัดสรร ค่าสาธารณู สสอ.'!Print_Area</vt:lpstr>
      <vt:lpstr>บุคลากร!Print_Area</vt:lpstr>
      <vt:lpstr>'เบิกจ่าย 2566'!Print_Area</vt:lpstr>
      <vt:lpstr>'เบิกจ่ายไตรมาส 3-4'!Print_Area</vt:lpstr>
      <vt:lpstr>ยาเสพติด!Print_Area</vt:lpstr>
      <vt:lpstr>วัคชีค!Print_Area</vt:lpstr>
      <vt:lpstr>'งบครุภัณฑ์-ก่อสร้าง'!Print_Titles</vt:lpstr>
      <vt:lpstr>งบประมาณกิจกรรม!Print_Titles</vt:lpstr>
      <vt:lpstr>'เงินกัน ปี 65'!Print_Titles</vt:lpstr>
      <vt:lpstr>ยาเสพติด!Print_Titles</vt:lpstr>
      <vt:lpstr>วัคชีค!Print_Titles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2022-10-18T02:46:35Z</dcterms:created>
  <dcterms:modified xsi:type="dcterms:W3CDTF">2023-09-12T07:37:43Z</dcterms:modified>
</cp:coreProperties>
</file>